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liam\Desktop\"/>
    </mc:Choice>
  </mc:AlternateContent>
  <bookViews>
    <workbookView xWindow="0" yWindow="0" windowWidth="7470" windowHeight="2760" firstSheet="1" activeTab="4"/>
  </bookViews>
  <sheets>
    <sheet name="Instructions" sheetId="14" r:id="rId1"/>
    <sheet name="Answer Schedule" sheetId="1" r:id="rId2"/>
    <sheet name="Financials" sheetId="11" r:id="rId3"/>
    <sheet name="Data" sheetId="12" r:id="rId4"/>
    <sheet name="Bond Sched" sheetId="13" r:id="rId5"/>
  </sheets>
  <definedNames>
    <definedName name="_xlnm.Print_Area" localSheetId="1">'Answer Schedule'!$A$1:$G$35</definedName>
    <definedName name="_xlnm.Print_Area" localSheetId="4">'Bond Sched'!$A$1:$J$28</definedName>
    <definedName name="_xlnm.Print_Area" localSheetId="3">Data!$A$1:$J$21</definedName>
    <definedName name="_xlnm.Print_Area" localSheetId="0">Instructions!$A$1:$G$12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8" i="11" l="1"/>
  <c r="C12" i="1"/>
  <c r="C6" i="1"/>
  <c r="B22" i="12"/>
  <c r="B21" i="12"/>
  <c r="J2" i="12"/>
  <c r="B30" i="12"/>
  <c r="B29" i="12"/>
  <c r="B28" i="12"/>
  <c r="B26" i="12"/>
  <c r="C19" i="1"/>
  <c r="B20" i="12"/>
  <c r="I25" i="13"/>
  <c r="I16" i="13"/>
  <c r="I7" i="13"/>
  <c r="I8" i="13"/>
  <c r="I9" i="13"/>
  <c r="I10" i="13"/>
  <c r="I11" i="13"/>
  <c r="I12" i="13"/>
  <c r="I13" i="13"/>
  <c r="I14" i="13"/>
  <c r="I15" i="13"/>
  <c r="I6" i="13"/>
  <c r="H15" i="13"/>
  <c r="H14" i="13"/>
  <c r="H13" i="13"/>
  <c r="H12" i="13"/>
  <c r="H11" i="13"/>
  <c r="H10" i="13"/>
  <c r="H9" i="13"/>
  <c r="H8" i="13"/>
  <c r="H7" i="13"/>
  <c r="H6" i="13"/>
  <c r="G16" i="13"/>
  <c r="G15" i="13"/>
  <c r="G14" i="13"/>
  <c r="G13" i="13"/>
  <c r="G12" i="13"/>
  <c r="G11" i="13"/>
  <c r="G10" i="13"/>
  <c r="G9" i="13"/>
  <c r="G8" i="13"/>
  <c r="G7" i="13"/>
  <c r="G6" i="13"/>
  <c r="I57" i="11"/>
  <c r="H57" i="11"/>
  <c r="G57" i="11"/>
  <c r="F57" i="11"/>
  <c r="E57" i="11"/>
  <c r="D57" i="11"/>
  <c r="C57" i="11"/>
  <c r="B57" i="11"/>
  <c r="I22" i="12"/>
  <c r="I18" i="12"/>
  <c r="I14" i="12"/>
  <c r="I10" i="12"/>
  <c r="I6" i="12"/>
  <c r="I2" i="12"/>
  <c r="H26" i="12"/>
  <c r="H22" i="12"/>
  <c r="H18" i="12"/>
  <c r="H14" i="12"/>
  <c r="H10" i="12"/>
  <c r="H6" i="12"/>
  <c r="H2" i="12"/>
  <c r="G24" i="1" l="1"/>
  <c r="C28" i="11"/>
  <c r="B28" i="11"/>
  <c r="C23" i="11"/>
  <c r="C22" i="11"/>
  <c r="B23" i="11"/>
  <c r="B22" i="11"/>
  <c r="C15" i="11"/>
  <c r="C14" i="11"/>
  <c r="B15" i="11"/>
  <c r="B14" i="11"/>
  <c r="C5" i="11"/>
  <c r="B5" i="11"/>
  <c r="H23" i="11"/>
  <c r="H22" i="11"/>
  <c r="H14" i="11"/>
  <c r="H15" i="11"/>
  <c r="I24" i="1"/>
  <c r="B54" i="11" l="1"/>
  <c r="E54" i="11"/>
  <c r="E48" i="11"/>
  <c r="C48" i="11"/>
  <c r="C52" i="11"/>
  <c r="B48" i="11"/>
  <c r="B52" i="11"/>
  <c r="D48" i="11"/>
  <c r="F48" i="11"/>
  <c r="F52" i="11"/>
  <c r="G48" i="11"/>
  <c r="G52" i="11"/>
  <c r="H48" i="11"/>
  <c r="H52" i="11"/>
  <c r="G47" i="11"/>
  <c r="D52" i="11"/>
  <c r="F47" i="11"/>
  <c r="E47" i="11"/>
  <c r="D47" i="11"/>
  <c r="C47" i="11"/>
  <c r="D43" i="11"/>
  <c r="C43" i="11"/>
  <c r="D38" i="11"/>
  <c r="C38" i="11"/>
  <c r="D29" i="11"/>
  <c r="C29" i="11"/>
  <c r="D24" i="11"/>
  <c r="C24" i="11"/>
  <c r="D16" i="11"/>
  <c r="C16" i="11"/>
  <c r="D9" i="11"/>
  <c r="C9" i="11"/>
  <c r="C49" i="11" l="1"/>
  <c r="C51" i="11" s="1"/>
  <c r="C53" i="11" s="1"/>
  <c r="C55" i="11" s="1"/>
  <c r="G49" i="11"/>
  <c r="G51" i="11" s="1"/>
  <c r="G53" i="11" s="1"/>
  <c r="G55" i="11" s="1"/>
  <c r="D30" i="11"/>
  <c r="D39" i="11" s="1"/>
  <c r="D17" i="11"/>
  <c r="F49" i="11"/>
  <c r="F51" i="11" s="1"/>
  <c r="F53" i="11" s="1"/>
  <c r="F55" i="11" s="1"/>
  <c r="D49" i="11"/>
  <c r="D51" i="11" s="1"/>
  <c r="D53" i="11" s="1"/>
  <c r="D55" i="11" s="1"/>
  <c r="E49" i="11"/>
  <c r="E51" i="11" s="1"/>
  <c r="E53" i="11" s="1"/>
  <c r="E55" i="11" s="1"/>
  <c r="C30" i="11"/>
  <c r="C39" i="11" s="1"/>
  <c r="C17" i="11"/>
  <c r="C7" i="12" l="1"/>
  <c r="C9" i="12" l="1"/>
  <c r="B14" i="12" l="1"/>
  <c r="H43" i="11" l="1"/>
  <c r="G43" i="11"/>
  <c r="F43" i="11"/>
  <c r="E43" i="11"/>
  <c r="B43" i="11"/>
  <c r="H47" i="11"/>
  <c r="H49" i="11" s="1"/>
  <c r="B47" i="11"/>
  <c r="B49" i="11" l="1"/>
  <c r="B51" i="11" s="1"/>
  <c r="B53" i="11" s="1"/>
  <c r="H51" i="11"/>
  <c r="H53" i="11" s="1"/>
  <c r="H55" i="11" l="1"/>
  <c r="B55" i="11"/>
  <c r="H38" i="11"/>
  <c r="G38" i="11"/>
  <c r="F38" i="11"/>
  <c r="E38" i="11"/>
  <c r="B38" i="11"/>
  <c r="H29" i="11" l="1"/>
  <c r="G29" i="11"/>
  <c r="F29" i="11"/>
  <c r="E29" i="11"/>
  <c r="B29" i="11"/>
  <c r="H24" i="11"/>
  <c r="G24" i="11"/>
  <c r="F24" i="11"/>
  <c r="E24" i="11"/>
  <c r="B24" i="11"/>
  <c r="H16" i="11"/>
  <c r="G16" i="11"/>
  <c r="F16" i="11"/>
  <c r="E16" i="11"/>
  <c r="H9" i="11"/>
  <c r="G9" i="11"/>
  <c r="F9" i="11"/>
  <c r="E9" i="11"/>
  <c r="B9" i="11"/>
  <c r="B30" i="11" l="1"/>
  <c r="B39" i="11" s="1"/>
  <c r="F30" i="11"/>
  <c r="F39" i="11" s="1"/>
  <c r="E17" i="11"/>
  <c r="G17" i="11"/>
  <c r="F17" i="11"/>
  <c r="G30" i="11"/>
  <c r="G39" i="11" s="1"/>
  <c r="H30" i="11"/>
  <c r="H39" i="11" s="1"/>
  <c r="H17" i="11"/>
  <c r="E30" i="11"/>
  <c r="E39" i="11" s="1"/>
  <c r="C16" i="13" l="1"/>
  <c r="C18" i="13" s="1"/>
  <c r="B13" i="12"/>
  <c r="B15" i="12" s="1"/>
  <c r="B17" i="12" s="1"/>
  <c r="B16" i="11" l="1"/>
  <c r="B17" i="11" l="1"/>
</calcChain>
</file>

<file path=xl/sharedStrings.xml><?xml version="1.0" encoding="utf-8"?>
<sst xmlns="http://schemas.openxmlformats.org/spreadsheetml/2006/main" count="204" uniqueCount="159">
  <si>
    <t>Answer Schedule</t>
  </si>
  <si>
    <t>Growth rate for equity</t>
  </si>
  <si>
    <t>Beta of stock</t>
  </si>
  <si>
    <t>Risk free rate</t>
  </si>
  <si>
    <t>Market rate of return</t>
  </si>
  <si>
    <t>Points available</t>
  </si>
  <si>
    <t>Annual dividend</t>
  </si>
  <si>
    <t>Average tax rate</t>
  </si>
  <si>
    <t>billion</t>
  </si>
  <si>
    <t>Market value of debt</t>
  </si>
  <si>
    <t>Total market value of equity and debt</t>
  </si>
  <si>
    <t>Weight for equity</t>
  </si>
  <si>
    <t>Weight for debt</t>
  </si>
  <si>
    <t>Weighted average cost of capital</t>
  </si>
  <si>
    <t>DGM cost of equity (stock)</t>
  </si>
  <si>
    <t>CAPM cost of equity (stock)</t>
  </si>
  <si>
    <t>Average cost of equity</t>
  </si>
  <si>
    <t>After tax cost of debt (bonds)</t>
  </si>
  <si>
    <t>Pre tax cost of debt (bonds)</t>
  </si>
  <si>
    <t>currency, 2 decimal places</t>
  </si>
  <si>
    <t>percentage, 2 decimal places</t>
  </si>
  <si>
    <t>number, 2 decimal places</t>
  </si>
  <si>
    <t>number, 4 decimal places</t>
  </si>
  <si>
    <t>Submit on Blackboard - do not email directly to Professor Gwinn</t>
  </si>
  <si>
    <t>Total  points</t>
  </si>
  <si>
    <t>market value</t>
  </si>
  <si>
    <t>or</t>
  </si>
  <si>
    <t>current price</t>
  </si>
  <si>
    <t>outstanding shares</t>
  </si>
  <si>
    <t>Name</t>
  </si>
  <si>
    <t>Coupon %</t>
  </si>
  <si>
    <t>Weight</t>
  </si>
  <si>
    <t>Assets</t>
  </si>
  <si>
    <t>Current assets</t>
  </si>
  <si>
    <t>Cash and cash equivalents</t>
  </si>
  <si>
    <t>Receivables</t>
  </si>
  <si>
    <t>Total current assets</t>
  </si>
  <si>
    <t>Non-current assets</t>
  </si>
  <si>
    <t>Goodwill</t>
  </si>
  <si>
    <t>Total non-current assets</t>
  </si>
  <si>
    <t>Total assets</t>
  </si>
  <si>
    <t>Liabilities</t>
  </si>
  <si>
    <t>Current liabilities</t>
  </si>
  <si>
    <t>Total current liabilities</t>
  </si>
  <si>
    <t>Non-current liabilities</t>
  </si>
  <si>
    <t>Long-term debt</t>
  </si>
  <si>
    <t>Total non-current liabilities</t>
  </si>
  <si>
    <t>Total liabilities</t>
  </si>
  <si>
    <t>Stockholders' equity</t>
  </si>
  <si>
    <t>Retained earnings</t>
  </si>
  <si>
    <t>Total stockholders' equity</t>
  </si>
  <si>
    <t>Total liabilities and stockholders' equity</t>
  </si>
  <si>
    <t>Interest Expense</t>
  </si>
  <si>
    <t>Net income</t>
  </si>
  <si>
    <t>Format</t>
  </si>
  <si>
    <t>Points available for each answer are all or nothing - must be correct answer AND in correct format</t>
  </si>
  <si>
    <t>Rounding of your answers should take place when you get to the final step, do not round prior to that</t>
  </si>
  <si>
    <t>Please refer to the other worksheets in this Excel file to get the data you need</t>
  </si>
  <si>
    <t>For example: show the growth rate for equity on the worksheet that contains the data you use for the calculation</t>
  </si>
  <si>
    <t>You need to show your work somewhere in this Excel file to get credit when calculations are involved</t>
  </si>
  <si>
    <t>simple average of two methods</t>
  </si>
  <si>
    <t xml:space="preserve">   Remarks</t>
  </si>
  <si>
    <t>Market value of equity (market cap)</t>
  </si>
  <si>
    <t>Market price of stock (per share)</t>
  </si>
  <si>
    <t>Current stock price</t>
  </si>
  <si>
    <t>Market Cap (Value)</t>
  </si>
  <si>
    <t>Beta</t>
  </si>
  <si>
    <t>PE Ratio</t>
  </si>
  <si>
    <t>EPS</t>
  </si>
  <si>
    <t># of shares outstanding</t>
  </si>
  <si>
    <t>million</t>
  </si>
  <si>
    <t>Date</t>
  </si>
  <si>
    <t>Quarterly Dividends</t>
  </si>
  <si>
    <t>Face Amount $(Mil)</t>
  </si>
  <si>
    <t>Current Price</t>
  </si>
  <si>
    <t>Yield to Maturity %</t>
  </si>
  <si>
    <t>Market Value $ (Mil)</t>
  </si>
  <si>
    <t>Weighted YTM %</t>
  </si>
  <si>
    <t>Pre-tax Cost of Debt</t>
  </si>
  <si>
    <t>Adjustment for tax rate</t>
  </si>
  <si>
    <t>If you just provide the correct answers and do not show your work when calculations are necessary,  you will not earn full credit</t>
  </si>
  <si>
    <t>Total  points available</t>
  </si>
  <si>
    <t>Totals</t>
  </si>
  <si>
    <t xml:space="preserve">  Net Points Earned</t>
  </si>
  <si>
    <t>Revenue (Sales)</t>
  </si>
  <si>
    <t>Cost of revenue (Cost of goods sold)</t>
  </si>
  <si>
    <t>Gross profit (Gross margin)</t>
  </si>
  <si>
    <t>EBITDA</t>
  </si>
  <si>
    <t>Deprec and amort</t>
  </si>
  <si>
    <t>Operating income (EBIT)</t>
  </si>
  <si>
    <t>Taxable income</t>
  </si>
  <si>
    <t>Income tax expense</t>
  </si>
  <si>
    <t>Annual Dividends</t>
  </si>
  <si>
    <t>Annual Growth Rates</t>
  </si>
  <si>
    <t>Average Growth Rate</t>
  </si>
  <si>
    <t>On the answer schedule, you can use cell references OR manually input your answers (as long as you did the actual calculations in Excel)</t>
  </si>
  <si>
    <t>Face amounts are in millions.</t>
  </si>
  <si>
    <t>After tax Cost of Debt</t>
  </si>
  <si>
    <t>two possible answers</t>
  </si>
  <si>
    <t>Inventories</t>
  </si>
  <si>
    <t>Gross property, plant and equipment</t>
  </si>
  <si>
    <t>Accumulated Depreciation</t>
  </si>
  <si>
    <t>Other long-term assets</t>
  </si>
  <si>
    <t>Short-term debt</t>
  </si>
  <si>
    <t>Other current liabilities</t>
  </si>
  <si>
    <t>Deferred taxes liabilities</t>
  </si>
  <si>
    <t>Other long-term liabilities</t>
  </si>
  <si>
    <t>Common stock</t>
  </si>
  <si>
    <t>Treasury stock</t>
  </si>
  <si>
    <t>Accumulated other comprehensive income</t>
  </si>
  <si>
    <t>use the most recent year on the Data tab</t>
  </si>
  <si>
    <t>use value in BILLIONS</t>
  </si>
  <si>
    <t>Fiscal year ends in December. USD in millions.</t>
  </si>
  <si>
    <t>2018-12</t>
  </si>
  <si>
    <t>2017-12</t>
  </si>
  <si>
    <t>2016-12</t>
  </si>
  <si>
    <t>2015-12</t>
  </si>
  <si>
    <t>2014-12</t>
  </si>
  <si>
    <t>Senior Notes</t>
  </si>
  <si>
    <t>Operating expenses</t>
  </si>
  <si>
    <t>Other current assets</t>
  </si>
  <si>
    <t>Excel Case #2 - Texas Instruments, Inc. (TXN)</t>
  </si>
  <si>
    <t>The Answer Schedule shows the points per question / answer</t>
  </si>
  <si>
    <t>Maturity</t>
  </si>
  <si>
    <t>Texas Instruments Inc. (TXN)    BALANCE SHEET</t>
  </si>
  <si>
    <t>Texas Instruments Inc. (TXN)    INCOME STATEMENT</t>
  </si>
  <si>
    <t>Other intangible assets</t>
  </si>
  <si>
    <t>Accounts payable and other accruals</t>
  </si>
  <si>
    <t>Additional Paid in Capital</t>
  </si>
  <si>
    <t>Late submissions are subject to a 2 point penalty</t>
  </si>
  <si>
    <t>Excel Case #2 - Texas Instruments, Inc.</t>
  </si>
  <si>
    <t>TXN outstanding bonds as of 12/31/18</t>
  </si>
  <si>
    <t>2020-12</t>
  </si>
  <si>
    <t>2019-12</t>
  </si>
  <si>
    <t>Texas Instruments, Inc.                    yahoo finance data 12/31/20 (year end)</t>
  </si>
  <si>
    <t>use dividend growth for most recent seven years as I have segregated on the Data tab</t>
  </si>
  <si>
    <t>use 12/31/20 data provided on Data tab - use value in BILLIONS</t>
  </si>
  <si>
    <t>use 12/31/20 data provided on Data tab</t>
  </si>
  <si>
    <t>use bond schedule for 12/31/20 - use value in BILLIONS</t>
  </si>
  <si>
    <t>use average for most recent seven calendar years = there are two acceptable ways to calculate this that result in two slightly different answers</t>
  </si>
  <si>
    <t xml:space="preserve">use bond schedule for 12/31/20   </t>
  </si>
  <si>
    <t>Save your file with this name format:  Excel Case2 FirstinitialLastname sectionnumber</t>
  </si>
  <si>
    <t xml:space="preserve">  Example: Excel Case 2 JDoe 03W</t>
  </si>
  <si>
    <t xml:space="preserve">  (due date and time is Sunday, April 18th, 11:59pm)</t>
  </si>
  <si>
    <t>I will only grade your last submission (2 maximum submissions)</t>
  </si>
  <si>
    <t>this table may be helpful after completing columns G, H and I</t>
  </si>
  <si>
    <t>Tax rate</t>
  </si>
  <si>
    <t>Simple Average Rate 7 years</t>
  </si>
  <si>
    <t>Cost of equity CAPM</t>
  </si>
  <si>
    <t>Cost of equity  DGM</t>
  </si>
  <si>
    <t>market value debt</t>
  </si>
  <si>
    <t xml:space="preserve">$                         7.36 </t>
  </si>
  <si>
    <t>Market value equity</t>
  </si>
  <si>
    <t>$                    150.89</t>
  </si>
  <si>
    <t>Market value of debt and equity</t>
  </si>
  <si>
    <t>Simple average cost of equity</t>
  </si>
  <si>
    <t>Weight of debt</t>
  </si>
  <si>
    <t>Weight of  Equity</t>
  </si>
  <si>
    <t>Cost of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</si>
</sst>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0%"/>
    <numFmt numFmtId="169" formatCode="0.0000"/>
    <numFmt numFmtId="170" formatCode="mm/dd/yy;@"/>
    <numFmt numFmtId="171" formatCode="0.000"/>
    <numFmt numFmtId="172" formatCode="_(&quot;$&quot;* #,##0.000_);_(&quot;$&quot;* \(#,##0.000\);_(&quot;$&quot;* &quot;-&quot;???_);_(@_)"/>
    <numFmt numFmtId="173" formatCode="_(* #,##0.0000_);_(* \(#,##0.0000\);_(* &quot;-&quot;????_);_(@_)"/>
    <numFmt numFmtId="174" formatCode="0.000000"/>
    <numFmt numFmtId="175" formatCode="0.000000%"/>
    <numFmt numFmtId="176" formatCode="_(* #,##0.000_);_(* \(#,##0.000\);_(* &quot;-&quot;???_);_(@_)"/>
    <numFmt numFmtId="177" formatCode="0.000%"/>
    <numFmt numFmtId="178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7" fontId="3" fillId="0" borderId="0" xfId="0" applyNumberFormat="1" applyFont="1"/>
    <xf numFmtId="168" fontId="3" fillId="0" borderId="0" xfId="0" applyNumberFormat="1" applyFont="1"/>
    <xf numFmtId="10" fontId="3" fillId="0" borderId="0" xfId="0" applyNumberFormat="1" applyFont="1"/>
    <xf numFmtId="166" fontId="3" fillId="0" borderId="0" xfId="0" applyNumberFormat="1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165" fontId="0" fillId="0" borderId="0" xfId="0" applyNumberFormat="1"/>
    <xf numFmtId="0" fontId="0" fillId="0" borderId="1" xfId="0" applyBorder="1"/>
    <xf numFmtId="17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0" fontId="3" fillId="0" borderId="2" xfId="0" applyNumberFormat="1" applyFont="1" applyBorder="1"/>
    <xf numFmtId="167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6" fontId="0" fillId="0" borderId="0" xfId="0" applyNumberFormat="1" applyBorder="1"/>
    <xf numFmtId="172" fontId="0" fillId="0" borderId="0" xfId="0" applyNumberFormat="1" applyBorder="1"/>
    <xf numFmtId="166" fontId="0" fillId="0" borderId="7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70" fontId="1" fillId="0" borderId="3" xfId="0" applyNumberFormat="1" applyFont="1" applyBorder="1" applyAlignment="1">
      <alignment horizontal="right" wrapText="1"/>
    </xf>
    <xf numFmtId="167" fontId="1" fillId="0" borderId="5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2" borderId="0" xfId="0" applyFont="1" applyFill="1"/>
    <xf numFmtId="0" fontId="1" fillId="0" borderId="6" xfId="0" applyFont="1" applyBorder="1"/>
    <xf numFmtId="0" fontId="0" fillId="0" borderId="12" xfId="0" applyBorder="1"/>
    <xf numFmtId="0" fontId="3" fillId="0" borderId="0" xfId="0" applyFont="1" applyAlignment="1">
      <alignment horizontal="left"/>
    </xf>
    <xf numFmtId="0" fontId="7" fillId="0" borderId="0" xfId="0" applyFont="1"/>
    <xf numFmtId="10" fontId="0" fillId="0" borderId="0" xfId="0" applyNumberFormat="1"/>
    <xf numFmtId="3" fontId="3" fillId="0" borderId="0" xfId="0" applyNumberFormat="1" applyFont="1"/>
    <xf numFmtId="3" fontId="0" fillId="0" borderId="0" xfId="0" applyNumberFormat="1"/>
    <xf numFmtId="165" fontId="0" fillId="0" borderId="0" xfId="0" applyNumberFormat="1" applyFill="1"/>
    <xf numFmtId="0" fontId="0" fillId="0" borderId="0" xfId="0" applyFill="1"/>
    <xf numFmtId="165" fontId="1" fillId="0" borderId="0" xfId="0" applyNumberFormat="1" applyFont="1" applyFill="1"/>
    <xf numFmtId="0" fontId="2" fillId="0" borderId="0" xfId="0" applyFont="1" applyAlignment="1">
      <alignment vertical="center"/>
    </xf>
    <xf numFmtId="173" fontId="0" fillId="0" borderId="0" xfId="0" applyNumberFormat="1"/>
    <xf numFmtId="17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wrapText="1"/>
    </xf>
    <xf numFmtId="37" fontId="3" fillId="0" borderId="2" xfId="0" applyNumberFormat="1" applyFont="1" applyBorder="1"/>
    <xf numFmtId="0" fontId="0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171" fontId="0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0" fontId="8" fillId="0" borderId="11" xfId="0" applyFont="1" applyBorder="1" applyAlignment="1">
      <alignment vertical="top"/>
    </xf>
    <xf numFmtId="168" fontId="4" fillId="0" borderId="2" xfId="0" applyNumberFormat="1" applyFont="1" applyBorder="1" applyAlignment="1">
      <alignment horizontal="right"/>
    </xf>
    <xf numFmtId="169" fontId="4" fillId="0" borderId="2" xfId="0" applyNumberFormat="1" applyFont="1" applyBorder="1" applyAlignment="1">
      <alignment horizontal="right"/>
    </xf>
    <xf numFmtId="0" fontId="0" fillId="0" borderId="13" xfId="0" applyBorder="1"/>
    <xf numFmtId="3" fontId="3" fillId="2" borderId="0" xfId="0" applyNumberFormat="1" applyFont="1" applyFill="1"/>
    <xf numFmtId="170" fontId="0" fillId="0" borderId="0" xfId="0" applyNumberFormat="1"/>
    <xf numFmtId="167" fontId="0" fillId="0" borderId="0" xfId="0" applyNumberFormat="1" applyBorder="1"/>
    <xf numFmtId="171" fontId="7" fillId="0" borderId="0" xfId="0" applyNumberFormat="1" applyFont="1" applyAlignment="1">
      <alignment horizontal="right"/>
    </xf>
    <xf numFmtId="4" fontId="8" fillId="0" borderId="11" xfId="0" applyNumberFormat="1" applyFont="1" applyBorder="1" applyAlignment="1">
      <alignment horizontal="right" vertical="top"/>
    </xf>
    <xf numFmtId="174" fontId="9" fillId="0" borderId="11" xfId="0" applyNumberFormat="1" applyFont="1" applyBorder="1" applyAlignment="1">
      <alignment horizontal="right" vertical="center"/>
    </xf>
    <xf numFmtId="168" fontId="9" fillId="0" borderId="11" xfId="0" applyNumberFormat="1" applyFont="1" applyBorder="1" applyAlignment="1">
      <alignment horizontal="right" vertical="center" wrapText="1"/>
    </xf>
    <xf numFmtId="175" fontId="9" fillId="0" borderId="11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left" wrapText="1"/>
    </xf>
    <xf numFmtId="2" fontId="9" fillId="0" borderId="1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/>
    <xf numFmtId="176" fontId="0" fillId="0" borderId="0" xfId="0" applyNumberFormat="1" applyBorder="1"/>
    <xf numFmtId="167" fontId="0" fillId="0" borderId="14" xfId="0" applyNumberFormat="1" applyBorder="1"/>
    <xf numFmtId="170" fontId="0" fillId="0" borderId="6" xfId="0" applyNumberFormat="1" applyBorder="1"/>
    <xf numFmtId="167" fontId="0" fillId="0" borderId="7" xfId="0" applyNumberFormat="1" applyBorder="1"/>
    <xf numFmtId="170" fontId="0" fillId="0" borderId="8" xfId="0" applyNumberFormat="1" applyBorder="1"/>
    <xf numFmtId="167" fontId="0" fillId="0" borderId="10" xfId="0" applyNumberFormat="1" applyBorder="1"/>
    <xf numFmtId="177" fontId="0" fillId="0" borderId="14" xfId="0" applyNumberFormat="1" applyBorder="1"/>
    <xf numFmtId="170" fontId="0" fillId="0" borderId="3" xfId="0" applyNumberFormat="1" applyBorder="1"/>
    <xf numFmtId="167" fontId="0" fillId="0" borderId="5" xfId="0" applyNumberForma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170" fontId="0" fillId="0" borderId="14" xfId="0" applyNumberFormat="1" applyFill="1" applyBorder="1"/>
    <xf numFmtId="10" fontId="4" fillId="0" borderId="2" xfId="0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175" fontId="0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2" fontId="0" fillId="0" borderId="0" xfId="0" applyNumberFormat="1"/>
    <xf numFmtId="178" fontId="3" fillId="0" borderId="2" xfId="0" applyNumberFormat="1" applyFont="1" applyBorder="1"/>
    <xf numFmtId="2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171" fontId="6" fillId="0" borderId="1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23.140625" customWidth="1"/>
    <col min="3" max="3" width="14.7109375" customWidth="1"/>
    <col min="4" max="4" width="8.7109375" customWidth="1"/>
    <col min="5" max="5" width="29.5703125" customWidth="1"/>
    <col min="6" max="6" width="16.5703125" style="10" customWidth="1"/>
    <col min="7" max="7" width="39.28515625" style="10" customWidth="1"/>
    <col min="8" max="8" width="19" customWidth="1"/>
    <col min="9" max="9" width="14.7109375" customWidth="1"/>
    <col min="10" max="10" width="19.42578125" customWidth="1"/>
    <col min="11" max="18" width="14.7109375" customWidth="1"/>
  </cols>
  <sheetData>
    <row r="1" spans="1:18" ht="18.75" x14ac:dyDescent="0.3">
      <c r="A1" s="2" t="s">
        <v>121</v>
      </c>
    </row>
    <row r="2" spans="1:18" ht="15.75" x14ac:dyDescent="0.25">
      <c r="A2" s="3"/>
      <c r="B2" s="3"/>
      <c r="C2" s="3"/>
      <c r="D2" s="3"/>
      <c r="E2" s="3"/>
      <c r="F2" s="11"/>
      <c r="G2" s="11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x14ac:dyDescent="0.25">
      <c r="A3" s="4" t="s">
        <v>81</v>
      </c>
      <c r="B3" s="3"/>
      <c r="C3" s="14">
        <v>20</v>
      </c>
      <c r="D3" s="4"/>
      <c r="E3" s="4"/>
      <c r="G3" s="14"/>
      <c r="H3" s="1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x14ac:dyDescent="0.25">
      <c r="A4" s="3"/>
      <c r="B4" s="3"/>
      <c r="C4" s="3"/>
      <c r="D4" s="3"/>
      <c r="E4" s="3"/>
      <c r="F4" s="11"/>
      <c r="G4" s="11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 x14ac:dyDescent="0.25">
      <c r="A5" s="3" t="s">
        <v>122</v>
      </c>
      <c r="B5" s="3"/>
      <c r="C5" s="3"/>
      <c r="D5" s="3"/>
      <c r="E5" s="3"/>
      <c r="F5" s="11"/>
      <c r="G5" s="11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.75" x14ac:dyDescent="0.25">
      <c r="A6" s="3" t="s">
        <v>55</v>
      </c>
      <c r="B6" s="3"/>
      <c r="C6" s="3"/>
      <c r="D6" s="3"/>
      <c r="E6" s="3"/>
      <c r="F6" s="11"/>
      <c r="G6" s="11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75" x14ac:dyDescent="0.25">
      <c r="A7" s="3" t="s">
        <v>56</v>
      </c>
      <c r="B7" s="3"/>
      <c r="C7" s="3"/>
      <c r="D7" s="3"/>
      <c r="E7" s="3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.75" x14ac:dyDescent="0.25">
      <c r="A8" s="3" t="s">
        <v>57</v>
      </c>
      <c r="B8" s="3"/>
      <c r="C8" s="3"/>
      <c r="D8" s="3"/>
      <c r="E8" s="3"/>
      <c r="F8" s="11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.75" x14ac:dyDescent="0.25">
      <c r="A9" s="3" t="s">
        <v>59</v>
      </c>
      <c r="B9" s="3"/>
      <c r="C9" s="3"/>
      <c r="D9" s="3"/>
      <c r="E9" s="3"/>
      <c r="F9" s="11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.75" x14ac:dyDescent="0.25">
      <c r="A10" s="95" t="s">
        <v>80</v>
      </c>
      <c r="B10" s="95"/>
      <c r="C10" s="95"/>
      <c r="D10" s="95"/>
      <c r="E10" s="95"/>
      <c r="F10" s="96"/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x14ac:dyDescent="0.25">
      <c r="A11" s="3" t="s">
        <v>95</v>
      </c>
      <c r="B11" s="3"/>
      <c r="C11" s="3"/>
      <c r="D11" s="3"/>
      <c r="E11" s="3"/>
      <c r="F11" s="11"/>
      <c r="G11" s="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.75" x14ac:dyDescent="0.25">
      <c r="A12" s="3" t="s">
        <v>58</v>
      </c>
      <c r="B12" s="3"/>
      <c r="C12" s="3"/>
      <c r="D12" s="3"/>
      <c r="E12" s="3"/>
      <c r="F12" s="11"/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5.75" x14ac:dyDescent="0.25">
      <c r="A13" s="3"/>
      <c r="B13" s="3"/>
      <c r="C13" s="3"/>
      <c r="D13" s="3"/>
      <c r="E13" s="3"/>
      <c r="F13" s="11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5.75" x14ac:dyDescent="0.25">
      <c r="A14" s="3" t="s">
        <v>141</v>
      </c>
      <c r="B14" s="3"/>
      <c r="C14" s="3"/>
      <c r="D14" s="3"/>
      <c r="E14" s="3"/>
      <c r="F14" s="11"/>
      <c r="G14" s="1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x14ac:dyDescent="0.25">
      <c r="A15" s="3" t="s">
        <v>142</v>
      </c>
      <c r="B15" s="3"/>
      <c r="C15" s="3"/>
      <c r="D15" s="3"/>
      <c r="E15" s="3"/>
      <c r="F15" s="11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5.75" x14ac:dyDescent="0.25">
      <c r="A16" s="3"/>
      <c r="B16" s="3"/>
      <c r="C16" s="3"/>
      <c r="D16" s="3"/>
      <c r="E16" s="3"/>
      <c r="F16" s="11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5.75" x14ac:dyDescent="0.25">
      <c r="A17" s="3" t="s">
        <v>23</v>
      </c>
      <c r="B17" s="3"/>
      <c r="C17" s="3"/>
      <c r="D17" s="3"/>
      <c r="E17" s="3"/>
      <c r="F17" s="11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.75" x14ac:dyDescent="0.25">
      <c r="A18" s="3" t="s">
        <v>143</v>
      </c>
      <c r="B18" s="3"/>
      <c r="C18" s="3"/>
      <c r="D18" s="3"/>
      <c r="E18" s="3"/>
      <c r="F18" s="11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5.75" x14ac:dyDescent="0.25">
      <c r="A19" s="3" t="s">
        <v>144</v>
      </c>
      <c r="B19" s="3"/>
      <c r="C19" s="3"/>
      <c r="D19" s="3"/>
      <c r="E19" s="3"/>
      <c r="F19" s="11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5.75" x14ac:dyDescent="0.25">
      <c r="A20" s="3" t="s">
        <v>129</v>
      </c>
      <c r="B20" s="3"/>
      <c r="C20" s="3"/>
      <c r="D20" s="3"/>
      <c r="E20" s="3"/>
      <c r="F20" s="11"/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.75" x14ac:dyDescent="0.25">
      <c r="A21" s="3"/>
      <c r="B21" s="3"/>
      <c r="C21" s="3"/>
      <c r="D21" s="3"/>
      <c r="E21" s="3"/>
      <c r="F21" s="11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5.75" x14ac:dyDescent="0.25">
      <c r="A22" s="3"/>
      <c r="B22" s="3"/>
      <c r="C22" s="3"/>
      <c r="D22" s="3"/>
      <c r="E22" s="3"/>
      <c r="F22" s="11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5.75" x14ac:dyDescent="0.25">
      <c r="A23" s="3"/>
      <c r="B23" s="3"/>
      <c r="C23" s="3"/>
      <c r="D23" s="3"/>
      <c r="E23" s="3"/>
      <c r="F23" s="11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.75" x14ac:dyDescent="0.25">
      <c r="A24" s="3"/>
      <c r="B24" s="3"/>
      <c r="C24" s="3"/>
      <c r="D24" s="3"/>
      <c r="E24" s="3"/>
      <c r="F24" s="11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5.75" x14ac:dyDescent="0.25">
      <c r="A25" s="3"/>
      <c r="B25" s="3"/>
      <c r="C25" s="3"/>
      <c r="D25" s="3"/>
      <c r="E25" s="3"/>
      <c r="F25" s="11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5.75" x14ac:dyDescent="0.25">
      <c r="A26" s="3"/>
      <c r="B26" s="3"/>
      <c r="C26" s="3"/>
      <c r="D26" s="3"/>
      <c r="E26" s="3"/>
      <c r="F26" s="11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.75" x14ac:dyDescent="0.25">
      <c r="A27" s="3"/>
      <c r="B27" s="3"/>
      <c r="C27" s="3"/>
      <c r="D27" s="3"/>
      <c r="E27" s="3"/>
      <c r="F27" s="11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5.75" x14ac:dyDescent="0.25">
      <c r="A28" s="3"/>
      <c r="B28" s="3"/>
      <c r="C28" s="3"/>
      <c r="D28" s="3"/>
      <c r="E28" s="3"/>
      <c r="F28" s="11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</sheetData>
  <pageMargins left="0.7" right="0.45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workbookViewId="0">
      <selection activeCell="C16" sqref="C16"/>
    </sheetView>
  </sheetViews>
  <sheetFormatPr defaultRowHeight="15" x14ac:dyDescent="0.25"/>
  <cols>
    <col min="1" max="1" width="14.7109375" customWidth="1"/>
    <col min="2" max="2" width="23.140625" customWidth="1"/>
    <col min="3" max="3" width="14.7109375" customWidth="1"/>
    <col min="4" max="4" width="8.7109375" customWidth="1"/>
    <col min="5" max="5" width="29.5703125" customWidth="1"/>
    <col min="6" max="6" width="1.85546875" customWidth="1"/>
    <col min="7" max="7" width="16.5703125" style="10" customWidth="1"/>
    <col min="8" max="8" width="55.28515625" style="10" customWidth="1"/>
    <col min="9" max="9" width="19" customWidth="1"/>
    <col min="10" max="10" width="14.7109375" customWidth="1"/>
    <col min="11" max="11" width="19.42578125" customWidth="1"/>
    <col min="12" max="19" width="14.7109375" customWidth="1"/>
  </cols>
  <sheetData>
    <row r="1" spans="1:19" ht="18.75" x14ac:dyDescent="0.3">
      <c r="A1" s="2" t="s">
        <v>130</v>
      </c>
    </row>
    <row r="2" spans="1:19" ht="15.75" x14ac:dyDescent="0.25">
      <c r="A2" s="3"/>
      <c r="B2" s="3"/>
      <c r="C2" s="3"/>
      <c r="D2" s="3"/>
      <c r="E2" s="3"/>
      <c r="F2" s="3"/>
      <c r="G2" s="11"/>
      <c r="H2" s="11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x14ac:dyDescent="0.25">
      <c r="A3" s="4" t="s">
        <v>0</v>
      </c>
      <c r="B3" s="3"/>
      <c r="C3" s="3"/>
      <c r="D3" s="3"/>
      <c r="E3" s="4" t="s">
        <v>54</v>
      </c>
      <c r="F3" s="4"/>
      <c r="G3" s="12" t="s">
        <v>5</v>
      </c>
      <c r="H3" s="22" t="s">
        <v>61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B4" s="3"/>
      <c r="C4" s="3"/>
      <c r="D4" s="3"/>
      <c r="E4" s="3"/>
      <c r="F4" s="3"/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x14ac:dyDescent="0.25">
      <c r="A5" s="3" t="s">
        <v>62</v>
      </c>
      <c r="B5" s="3"/>
      <c r="C5" s="107">
        <v>150.88999999999999</v>
      </c>
      <c r="D5" s="3" t="s">
        <v>8</v>
      </c>
      <c r="E5" s="3" t="s">
        <v>19</v>
      </c>
      <c r="F5" s="3"/>
      <c r="G5" s="45">
        <v>0.5</v>
      </c>
      <c r="H5" s="21" t="s">
        <v>136</v>
      </c>
      <c r="I5" s="52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 t="s">
        <v>1</v>
      </c>
      <c r="B6" s="3"/>
      <c r="C6" s="23">
        <f>0.2022</f>
        <v>0.20219999999999999</v>
      </c>
      <c r="D6" s="7"/>
      <c r="E6" s="7" t="s">
        <v>20</v>
      </c>
      <c r="F6" s="7"/>
      <c r="G6" s="45">
        <v>1.75</v>
      </c>
      <c r="H6" s="21" t="s">
        <v>135</v>
      </c>
      <c r="I6" s="52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" t="s">
        <v>63</v>
      </c>
      <c r="B7" s="3"/>
      <c r="C7" s="107">
        <v>164.13</v>
      </c>
      <c r="D7" s="8"/>
      <c r="E7" s="3" t="s">
        <v>19</v>
      </c>
      <c r="F7" s="3"/>
      <c r="G7" s="45">
        <v>0.5</v>
      </c>
      <c r="H7" s="21" t="s">
        <v>137</v>
      </c>
      <c r="I7" s="53"/>
      <c r="J7" s="3"/>
      <c r="K7" s="5"/>
      <c r="L7" s="3"/>
      <c r="M7" s="3"/>
      <c r="N7" s="3"/>
      <c r="O7" s="3"/>
      <c r="P7" s="3"/>
      <c r="Q7" s="3"/>
      <c r="R7" s="3"/>
      <c r="S7" s="3"/>
    </row>
    <row r="8" spans="1:19" ht="15.75" x14ac:dyDescent="0.25">
      <c r="A8" s="3" t="s">
        <v>6</v>
      </c>
      <c r="B8" s="3"/>
      <c r="C8" s="107">
        <v>3.72</v>
      </c>
      <c r="D8" s="8"/>
      <c r="E8" s="3" t="s">
        <v>19</v>
      </c>
      <c r="F8" s="3"/>
      <c r="G8" s="45">
        <v>0.5</v>
      </c>
      <c r="H8" s="21" t="s">
        <v>110</v>
      </c>
      <c r="I8" s="53"/>
      <c r="J8" s="3"/>
      <c r="K8" s="5"/>
      <c r="L8" s="3"/>
      <c r="M8" s="3"/>
      <c r="N8" s="3"/>
      <c r="O8" s="3"/>
      <c r="P8" s="3"/>
      <c r="Q8" s="3"/>
      <c r="R8" s="3"/>
      <c r="S8" s="3"/>
    </row>
    <row r="9" spans="1:19" ht="15.75" x14ac:dyDescent="0.25">
      <c r="A9" s="3" t="s">
        <v>2</v>
      </c>
      <c r="B9" s="3"/>
      <c r="C9" s="107">
        <v>1.27</v>
      </c>
      <c r="D9" s="9"/>
      <c r="E9" s="3" t="s">
        <v>21</v>
      </c>
      <c r="F9" s="3"/>
      <c r="G9" s="45">
        <v>0.5</v>
      </c>
      <c r="H9" s="21" t="s">
        <v>137</v>
      </c>
      <c r="I9" s="52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x14ac:dyDescent="0.25">
      <c r="A10" s="3" t="s">
        <v>3</v>
      </c>
      <c r="B10" s="3"/>
      <c r="C10" s="23">
        <v>1.4999999999999999E-2</v>
      </c>
      <c r="D10" s="7"/>
      <c r="E10" s="7" t="s">
        <v>20</v>
      </c>
      <c r="F10" s="7"/>
      <c r="G10" s="45"/>
      <c r="H10" s="21"/>
      <c r="I10" s="52"/>
      <c r="J10" s="3"/>
      <c r="K10" s="6"/>
      <c r="L10" s="3"/>
      <c r="M10" s="3"/>
      <c r="N10" s="3"/>
      <c r="O10" s="3"/>
      <c r="P10" s="3"/>
      <c r="Q10" s="3"/>
      <c r="R10" s="3"/>
      <c r="S10" s="3"/>
    </row>
    <row r="11" spans="1:19" ht="15.75" x14ac:dyDescent="0.25">
      <c r="A11" s="3" t="s">
        <v>4</v>
      </c>
      <c r="B11" s="3"/>
      <c r="C11" s="23">
        <v>0.11600000000000001</v>
      </c>
      <c r="D11" s="7"/>
      <c r="E11" s="7" t="s">
        <v>20</v>
      </c>
      <c r="F11" s="7"/>
      <c r="G11" s="45"/>
      <c r="H11" s="21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.75" x14ac:dyDescent="0.25">
      <c r="A12" s="3" t="s">
        <v>14</v>
      </c>
      <c r="B12" s="3"/>
      <c r="C12" s="23">
        <f>0.2294</f>
        <v>0.22939999999999999</v>
      </c>
      <c r="D12" s="7"/>
      <c r="E12" s="7" t="s">
        <v>20</v>
      </c>
      <c r="F12" s="7"/>
      <c r="G12" s="45">
        <v>1.25</v>
      </c>
      <c r="H12" s="21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.75" x14ac:dyDescent="0.25">
      <c r="A13" s="3" t="s">
        <v>15</v>
      </c>
      <c r="B13" s="3"/>
      <c r="C13" s="23">
        <v>0.14330000000000001</v>
      </c>
      <c r="D13" s="7"/>
      <c r="E13" s="7" t="s">
        <v>20</v>
      </c>
      <c r="F13" s="7"/>
      <c r="G13" s="45">
        <v>1.25</v>
      </c>
      <c r="H13" s="21"/>
      <c r="I13" s="52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75" x14ac:dyDescent="0.25">
      <c r="A14" s="3" t="s">
        <v>16</v>
      </c>
      <c r="B14" s="3"/>
      <c r="C14" s="23">
        <v>0.18640000000000001</v>
      </c>
      <c r="D14" s="7"/>
      <c r="E14" s="7" t="s">
        <v>20</v>
      </c>
      <c r="F14" s="7"/>
      <c r="G14" s="45">
        <v>1</v>
      </c>
      <c r="H14" s="21" t="s">
        <v>60</v>
      </c>
      <c r="I14" s="5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x14ac:dyDescent="0.25">
      <c r="A15" s="3" t="s">
        <v>9</v>
      </c>
      <c r="B15" s="3"/>
      <c r="C15" s="107">
        <v>7.36</v>
      </c>
      <c r="D15" s="3" t="s">
        <v>8</v>
      </c>
      <c r="E15" s="3" t="s">
        <v>19</v>
      </c>
      <c r="F15" s="3"/>
      <c r="G15" s="45">
        <v>0.5</v>
      </c>
      <c r="H15" s="21" t="s">
        <v>138</v>
      </c>
      <c r="I15" s="52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47.25" x14ac:dyDescent="0.25">
      <c r="A16" s="3" t="s">
        <v>7</v>
      </c>
      <c r="B16" s="3"/>
      <c r="C16" s="62">
        <v>22.69</v>
      </c>
      <c r="D16" s="3"/>
      <c r="E16" s="7" t="s">
        <v>20</v>
      </c>
      <c r="F16" s="7"/>
      <c r="G16" s="45">
        <v>1</v>
      </c>
      <c r="H16" s="83" t="s">
        <v>139</v>
      </c>
      <c r="I16" s="75" t="s">
        <v>98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 t="s">
        <v>18</v>
      </c>
      <c r="B17" s="3"/>
      <c r="C17" s="62">
        <v>2.06</v>
      </c>
      <c r="D17" s="3"/>
      <c r="E17" s="7" t="s">
        <v>20</v>
      </c>
      <c r="F17" s="7"/>
      <c r="G17" s="45">
        <v>3.5</v>
      </c>
      <c r="H17" s="21" t="s">
        <v>140</v>
      </c>
      <c r="I17" s="52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 t="s">
        <v>17</v>
      </c>
      <c r="B18" s="3"/>
      <c r="C18" s="62">
        <v>1.59</v>
      </c>
      <c r="D18" s="3"/>
      <c r="E18" s="7" t="s">
        <v>20</v>
      </c>
      <c r="F18" s="7"/>
      <c r="G18" s="45">
        <v>1.25</v>
      </c>
      <c r="H18" s="21" t="s">
        <v>140</v>
      </c>
      <c r="I18" s="52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 t="s">
        <v>10</v>
      </c>
      <c r="B19" s="3"/>
      <c r="C19" s="62">
        <f>150.89+7.36</f>
        <v>158.25</v>
      </c>
      <c r="D19" s="3" t="s">
        <v>8</v>
      </c>
      <c r="E19" s="3" t="s">
        <v>19</v>
      </c>
      <c r="F19" s="3"/>
      <c r="G19" s="45">
        <v>0.5</v>
      </c>
      <c r="H19" s="21" t="s">
        <v>111</v>
      </c>
      <c r="I19" s="5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 t="s">
        <v>11</v>
      </c>
      <c r="B20" s="3"/>
      <c r="C20" s="62">
        <v>0.95</v>
      </c>
      <c r="D20" s="3"/>
      <c r="E20" s="3" t="s">
        <v>22</v>
      </c>
      <c r="F20" s="3"/>
      <c r="G20" s="45">
        <v>1.25</v>
      </c>
      <c r="H20" s="21"/>
      <c r="I20" s="52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 t="s">
        <v>12</v>
      </c>
      <c r="B21" s="3"/>
      <c r="C21" s="62">
        <v>0.05</v>
      </c>
      <c r="D21" s="3"/>
      <c r="E21" s="3" t="s">
        <v>22</v>
      </c>
      <c r="F21" s="3"/>
      <c r="G21" s="45">
        <v>1.25</v>
      </c>
      <c r="H21" s="21"/>
      <c r="I21" s="52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 t="s">
        <v>13</v>
      </c>
      <c r="B22" s="3"/>
      <c r="C22" s="62">
        <v>17.72</v>
      </c>
      <c r="D22" s="3"/>
      <c r="E22" s="7" t="s">
        <v>20</v>
      </c>
      <c r="F22" s="7"/>
      <c r="G22" s="45">
        <v>3.5</v>
      </c>
      <c r="H22" s="21"/>
      <c r="I22" s="52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13"/>
      <c r="H23" s="13"/>
      <c r="I23" s="52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4" t="s">
        <v>24</v>
      </c>
      <c r="B24" s="3"/>
      <c r="C24" s="3"/>
      <c r="D24" s="3"/>
      <c r="E24" s="3"/>
      <c r="F24" s="3"/>
      <c r="G24" s="14">
        <f>SUM(G3:G22)</f>
        <v>20</v>
      </c>
      <c r="H24" s="14"/>
      <c r="I24" s="52">
        <f>SUM(I5:I23)</f>
        <v>0</v>
      </c>
      <c r="J24" s="22" t="s">
        <v>83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11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11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 t="s">
        <v>141</v>
      </c>
      <c r="B27" s="3"/>
      <c r="C27" s="3"/>
      <c r="D27" s="3"/>
      <c r="E27" s="3"/>
      <c r="F27" s="3"/>
      <c r="G27" s="11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 t="s">
        <v>142</v>
      </c>
      <c r="B28" s="3"/>
      <c r="C28" s="3"/>
      <c r="D28" s="3"/>
      <c r="E28" s="3"/>
      <c r="F28" s="3"/>
      <c r="G28" s="11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B29" s="3"/>
      <c r="C29" s="3"/>
      <c r="D29" s="3"/>
      <c r="E29" s="3"/>
      <c r="F29" s="3"/>
      <c r="G29" s="11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 t="s">
        <v>23</v>
      </c>
      <c r="B30" s="3"/>
      <c r="C30" s="3"/>
      <c r="D30" s="3"/>
      <c r="E30" s="3"/>
      <c r="F30" s="3"/>
      <c r="G30" s="11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 t="s">
        <v>143</v>
      </c>
      <c r="B31" s="3"/>
      <c r="C31" s="3"/>
      <c r="D31" s="3"/>
      <c r="E31" s="3"/>
      <c r="F31" s="3"/>
      <c r="G31" s="11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 t="s">
        <v>144</v>
      </c>
      <c r="B32" s="3"/>
      <c r="C32" s="3"/>
      <c r="D32" s="3"/>
      <c r="E32" s="3"/>
      <c r="F32" s="3"/>
      <c r="G32" s="11"/>
      <c r="H32" s="4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 t="s">
        <v>129</v>
      </c>
      <c r="B33" s="3"/>
      <c r="C33" s="3"/>
      <c r="D33" s="3"/>
      <c r="E33" s="3"/>
      <c r="F33" s="3"/>
      <c r="G33" s="11"/>
      <c r="H33" s="4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3"/>
      <c r="B34" s="3"/>
      <c r="C34" s="3"/>
      <c r="D34" s="3"/>
      <c r="E34" s="3"/>
      <c r="F34" s="3"/>
      <c r="G34" s="11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5.75" x14ac:dyDescent="0.25">
      <c r="A35" s="4"/>
      <c r="B35" s="3"/>
      <c r="C35" s="3"/>
      <c r="D35" s="3"/>
      <c r="E35" s="3"/>
      <c r="F35" s="3"/>
      <c r="G35" s="14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75" x14ac:dyDescent="0.25">
      <c r="B36" s="3"/>
      <c r="C36" s="3"/>
      <c r="D36" s="3"/>
      <c r="E36" s="3"/>
      <c r="F36" s="3"/>
      <c r="G36" s="11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5.75" x14ac:dyDescent="0.25">
      <c r="A37" s="3"/>
      <c r="B37" s="3"/>
      <c r="C37" s="3"/>
      <c r="D37" s="3"/>
      <c r="E37" s="3"/>
      <c r="F37" s="3"/>
      <c r="G37" s="11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5.75" x14ac:dyDescent="0.25">
      <c r="A38" s="3"/>
      <c r="B38" s="3"/>
      <c r="C38" s="3"/>
      <c r="D38" s="3"/>
      <c r="E38" s="3"/>
      <c r="F38" s="3"/>
      <c r="G38" s="11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5.75" x14ac:dyDescent="0.25">
      <c r="A39" s="3"/>
      <c r="B39" s="3"/>
      <c r="C39" s="3"/>
      <c r="D39" s="3"/>
      <c r="E39" s="3"/>
      <c r="F39" s="3"/>
      <c r="G39" s="11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5.75" x14ac:dyDescent="0.25">
      <c r="A40" s="3"/>
      <c r="B40" s="3"/>
      <c r="C40" s="3"/>
      <c r="D40" s="3"/>
      <c r="E40" s="3"/>
      <c r="F40" s="3"/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5.75" x14ac:dyDescent="0.25">
      <c r="A41" s="3"/>
      <c r="B41" s="3"/>
      <c r="C41" s="3"/>
      <c r="D41" s="3"/>
      <c r="E41" s="3"/>
      <c r="F41" s="3"/>
      <c r="G41" s="11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5.75" x14ac:dyDescent="0.25">
      <c r="A42" s="3"/>
      <c r="B42" s="3"/>
      <c r="C42" s="3"/>
      <c r="D42" s="3"/>
      <c r="E42" s="3"/>
      <c r="F42" s="3"/>
      <c r="G42" s="11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11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x14ac:dyDescent="0.25">
      <c r="A44" s="3"/>
      <c r="B44" s="3"/>
      <c r="C44" s="3"/>
      <c r="D44" s="3"/>
      <c r="E44" s="3"/>
      <c r="F44" s="3"/>
      <c r="G44" s="11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x14ac:dyDescent="0.25">
      <c r="A45" s="3"/>
      <c r="B45" s="3"/>
      <c r="C45" s="3"/>
      <c r="D45" s="3"/>
      <c r="E45" s="3"/>
      <c r="F45" s="3"/>
      <c r="G45" s="11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x14ac:dyDescent="0.25">
      <c r="A46" s="3"/>
      <c r="B46" s="3"/>
      <c r="C46" s="3"/>
      <c r="D46" s="3"/>
      <c r="E46" s="3"/>
      <c r="F46" s="3"/>
      <c r="G46" s="11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x14ac:dyDescent="0.25">
      <c r="A47" s="3"/>
      <c r="B47" s="3"/>
      <c r="C47" s="3"/>
      <c r="D47" s="3"/>
      <c r="E47" s="3"/>
      <c r="F47" s="3"/>
      <c r="G47" s="11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x14ac:dyDescent="0.25">
      <c r="A48" s="3"/>
      <c r="B48" s="3"/>
      <c r="C48" s="3"/>
      <c r="D48" s="3"/>
      <c r="E48" s="3"/>
      <c r="F48" s="3"/>
      <c r="G48" s="11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5.75" x14ac:dyDescent="0.25">
      <c r="A49" s="3"/>
      <c r="B49" s="3"/>
      <c r="C49" s="3"/>
      <c r="D49" s="3"/>
      <c r="E49" s="3"/>
      <c r="F49" s="3"/>
      <c r="G49" s="11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5.75" x14ac:dyDescent="0.25">
      <c r="A50" s="3"/>
      <c r="B50" s="3"/>
      <c r="C50" s="3"/>
      <c r="D50" s="3"/>
      <c r="E50" s="3"/>
      <c r="F50" s="3"/>
      <c r="G50" s="11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5.75" x14ac:dyDescent="0.25">
      <c r="A51" s="3"/>
      <c r="B51" s="3"/>
      <c r="C51" s="3"/>
      <c r="D51" s="3"/>
      <c r="E51" s="3"/>
      <c r="F51" s="3"/>
      <c r="G51" s="11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</sheetData>
  <printOptions gridLines="1"/>
  <pageMargins left="0.7" right="0.45" top="0.5" bottom="0.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37" workbookViewId="0">
      <selection activeCell="D60" sqref="D60"/>
    </sheetView>
  </sheetViews>
  <sheetFormatPr defaultRowHeight="15" x14ac:dyDescent="0.25"/>
  <cols>
    <col min="1" max="1" width="44.7109375" customWidth="1"/>
    <col min="2" max="8" width="11.7109375" customWidth="1"/>
    <col min="9" max="9" width="13.7109375" customWidth="1"/>
    <col min="11" max="11" width="10.7109375" customWidth="1"/>
    <col min="12" max="12" width="4.28515625" customWidth="1"/>
    <col min="13" max="17" width="10.7109375" customWidth="1"/>
  </cols>
  <sheetData>
    <row r="1" spans="1:18" x14ac:dyDescent="0.25">
      <c r="A1" s="46" t="s">
        <v>124</v>
      </c>
      <c r="B1" s="1"/>
      <c r="C1" s="1"/>
      <c r="D1" s="1"/>
      <c r="E1" s="1"/>
      <c r="F1" s="1"/>
      <c r="G1" s="1"/>
      <c r="H1" s="1"/>
    </row>
    <row r="2" spans="1:18" x14ac:dyDescent="0.25">
      <c r="A2" s="46" t="s">
        <v>112</v>
      </c>
      <c r="B2" s="19" t="s">
        <v>132</v>
      </c>
      <c r="C2" s="19" t="s">
        <v>133</v>
      </c>
      <c r="D2" s="19" t="s">
        <v>113</v>
      </c>
      <c r="E2" s="19" t="s">
        <v>114</v>
      </c>
      <c r="F2" s="19" t="s">
        <v>115</v>
      </c>
      <c r="G2" s="19" t="s">
        <v>116</v>
      </c>
      <c r="H2" s="19" t="s">
        <v>117</v>
      </c>
    </row>
    <row r="3" spans="1:18" x14ac:dyDescent="0.25">
      <c r="A3" s="1" t="s">
        <v>32</v>
      </c>
    </row>
    <row r="4" spans="1:18" x14ac:dyDescent="0.25">
      <c r="A4" s="1" t="s">
        <v>33</v>
      </c>
    </row>
    <row r="5" spans="1:18" x14ac:dyDescent="0.25">
      <c r="A5" t="s">
        <v>34</v>
      </c>
      <c r="B5" s="16">
        <f>3107+3461</f>
        <v>6568</v>
      </c>
      <c r="C5" s="16">
        <f>2437+2950</f>
        <v>5387</v>
      </c>
      <c r="D5" s="16">
        <v>4233</v>
      </c>
      <c r="E5" s="16">
        <v>4469</v>
      </c>
      <c r="F5" s="16">
        <v>3490</v>
      </c>
      <c r="G5" s="16">
        <v>3218</v>
      </c>
      <c r="H5" s="16">
        <v>3541</v>
      </c>
    </row>
    <row r="6" spans="1:18" x14ac:dyDescent="0.25">
      <c r="A6" t="s">
        <v>35</v>
      </c>
      <c r="B6" s="16">
        <v>1414</v>
      </c>
      <c r="C6" s="16">
        <v>1074</v>
      </c>
      <c r="D6" s="16">
        <v>1207</v>
      </c>
      <c r="E6" s="16">
        <v>1278</v>
      </c>
      <c r="F6" s="16">
        <v>1267</v>
      </c>
      <c r="G6" s="16">
        <v>1165</v>
      </c>
      <c r="H6" s="16">
        <v>1246</v>
      </c>
    </row>
    <row r="7" spans="1:18" x14ac:dyDescent="0.25">
      <c r="A7" t="s">
        <v>99</v>
      </c>
      <c r="B7" s="16">
        <v>1955</v>
      </c>
      <c r="C7" s="16">
        <v>2001</v>
      </c>
      <c r="D7" s="16">
        <v>2217</v>
      </c>
      <c r="E7" s="16">
        <v>1957</v>
      </c>
      <c r="F7" s="16">
        <v>1790</v>
      </c>
      <c r="G7" s="16">
        <v>1691</v>
      </c>
      <c r="H7" s="16">
        <v>1784</v>
      </c>
    </row>
    <row r="8" spans="1:18" x14ac:dyDescent="0.25">
      <c r="A8" t="s">
        <v>120</v>
      </c>
      <c r="B8" s="16">
        <v>302</v>
      </c>
      <c r="C8" s="16">
        <v>299</v>
      </c>
      <c r="D8" s="16">
        <v>440</v>
      </c>
      <c r="E8" s="16">
        <v>1030</v>
      </c>
      <c r="F8" s="16">
        <v>910</v>
      </c>
      <c r="G8" s="16">
        <v>1000</v>
      </c>
      <c r="H8" s="16">
        <v>850</v>
      </c>
    </row>
    <row r="9" spans="1:18" x14ac:dyDescent="0.25">
      <c r="A9" s="1" t="s">
        <v>36</v>
      </c>
      <c r="B9" s="20">
        <f>SUM(B5:B8)</f>
        <v>10239</v>
      </c>
      <c r="C9" s="20">
        <f t="shared" ref="C9:D9" si="0">SUM(C5:C8)</f>
        <v>8761</v>
      </c>
      <c r="D9" s="20">
        <f t="shared" si="0"/>
        <v>8097</v>
      </c>
      <c r="E9" s="20">
        <f>SUM(E5:E8)</f>
        <v>8734</v>
      </c>
      <c r="F9" s="20">
        <f>SUM(F5:F8)</f>
        <v>7457</v>
      </c>
      <c r="G9" s="20">
        <f>SUM(G5:G8)</f>
        <v>7074</v>
      </c>
      <c r="H9" s="20">
        <f>SUM(H5:H8)</f>
        <v>7421</v>
      </c>
    </row>
    <row r="10" spans="1:18" x14ac:dyDescent="0.25">
      <c r="A10" s="1" t="s">
        <v>37</v>
      </c>
      <c r="B10" s="16"/>
      <c r="C10" s="16"/>
      <c r="D10" s="16"/>
      <c r="E10" s="16"/>
      <c r="F10" s="16"/>
      <c r="G10" s="16"/>
      <c r="H10" s="16"/>
    </row>
    <row r="11" spans="1:18" x14ac:dyDescent="0.25">
      <c r="A11" t="s">
        <v>100</v>
      </c>
      <c r="B11" s="16">
        <v>5781</v>
      </c>
      <c r="C11" s="16">
        <v>5740</v>
      </c>
      <c r="D11" s="16">
        <v>5425</v>
      </c>
      <c r="E11" s="16">
        <v>4789</v>
      </c>
      <c r="F11" s="16">
        <v>4923</v>
      </c>
      <c r="G11" s="16">
        <v>5465</v>
      </c>
      <c r="H11" s="16">
        <v>6266</v>
      </c>
    </row>
    <row r="12" spans="1:18" x14ac:dyDescent="0.25">
      <c r="A12" t="s">
        <v>101</v>
      </c>
      <c r="B12" s="16">
        <v>-2512</v>
      </c>
      <c r="C12" s="16">
        <v>-2437</v>
      </c>
      <c r="D12" s="16">
        <v>-2242</v>
      </c>
      <c r="E12" s="16">
        <v>-2125</v>
      </c>
      <c r="F12" s="16">
        <v>-2411</v>
      </c>
      <c r="G12" s="16">
        <v>-2869</v>
      </c>
      <c r="H12" s="16">
        <v>-3426</v>
      </c>
      <c r="P12" s="16"/>
    </row>
    <row r="13" spans="1:18" x14ac:dyDescent="0.25">
      <c r="A13" t="s">
        <v>38</v>
      </c>
      <c r="B13" s="16">
        <v>4362</v>
      </c>
      <c r="C13" s="16">
        <v>4362</v>
      </c>
      <c r="D13" s="16">
        <v>4362</v>
      </c>
      <c r="E13" s="16">
        <v>4362</v>
      </c>
      <c r="F13" s="16">
        <v>4362</v>
      </c>
      <c r="G13" s="16">
        <v>4362</v>
      </c>
      <c r="H13" s="16">
        <v>4362</v>
      </c>
    </row>
    <row r="14" spans="1:18" x14ac:dyDescent="0.25">
      <c r="A14" t="s">
        <v>126</v>
      </c>
      <c r="B14" s="16">
        <f>152+122+343</f>
        <v>617</v>
      </c>
      <c r="C14" s="16">
        <f>340+197+69</f>
        <v>606</v>
      </c>
      <c r="D14" s="16">
        <v>717</v>
      </c>
      <c r="E14" s="16">
        <v>1056</v>
      </c>
      <c r="F14" s="16">
        <v>1316</v>
      </c>
      <c r="G14" s="16">
        <v>1629</v>
      </c>
      <c r="H14" s="16">
        <f>1902+224</f>
        <v>2126</v>
      </c>
    </row>
    <row r="15" spans="1:18" x14ac:dyDescent="0.25">
      <c r="A15" t="s">
        <v>102</v>
      </c>
      <c r="B15" s="16">
        <f>246+569+49</f>
        <v>864</v>
      </c>
      <c r="C15" s="16">
        <f>218+468+300</f>
        <v>986</v>
      </c>
      <c r="D15" s="16">
        <v>778</v>
      </c>
      <c r="E15" s="16">
        <v>826</v>
      </c>
      <c r="F15" s="16">
        <v>784</v>
      </c>
      <c r="G15" s="16">
        <v>569</v>
      </c>
      <c r="H15" s="16">
        <f>180+83+127+233</f>
        <v>623</v>
      </c>
      <c r="L15" s="16"/>
      <c r="M15" s="16"/>
      <c r="N15" s="16"/>
      <c r="O15" s="16"/>
      <c r="P15" s="16"/>
      <c r="Q15" s="16"/>
      <c r="R15" s="16"/>
    </row>
    <row r="16" spans="1:18" x14ac:dyDescent="0.25">
      <c r="A16" s="1" t="s">
        <v>39</v>
      </c>
      <c r="B16" s="20">
        <f>SUM(B11:B15)</f>
        <v>9112</v>
      </c>
      <c r="C16" s="20">
        <f t="shared" ref="C16:D16" si="1">SUM(C11:C15)</f>
        <v>9257</v>
      </c>
      <c r="D16" s="20">
        <f t="shared" si="1"/>
        <v>9040</v>
      </c>
      <c r="E16" s="20">
        <f t="shared" ref="E16:H16" si="2">SUM(E11:E15)</f>
        <v>8908</v>
      </c>
      <c r="F16" s="20">
        <f t="shared" si="2"/>
        <v>8974</v>
      </c>
      <c r="G16" s="20">
        <f t="shared" si="2"/>
        <v>9156</v>
      </c>
      <c r="H16" s="20">
        <f t="shared" si="2"/>
        <v>9951</v>
      </c>
    </row>
    <row r="17" spans="1:17" x14ac:dyDescent="0.25">
      <c r="A17" s="1" t="s">
        <v>40</v>
      </c>
      <c r="B17" s="20">
        <f>B9+B16</f>
        <v>19351</v>
      </c>
      <c r="C17" s="20">
        <f t="shared" ref="C17:D17" si="3">C9+C16</f>
        <v>18018</v>
      </c>
      <c r="D17" s="20">
        <f t="shared" si="3"/>
        <v>17137</v>
      </c>
      <c r="E17" s="20">
        <f t="shared" ref="E17:H17" si="4">E9+E16</f>
        <v>17642</v>
      </c>
      <c r="F17" s="20">
        <f t="shared" si="4"/>
        <v>16431</v>
      </c>
      <c r="G17" s="20">
        <f t="shared" si="4"/>
        <v>16230</v>
      </c>
      <c r="H17" s="20">
        <f t="shared" si="4"/>
        <v>17372</v>
      </c>
    </row>
    <row r="18" spans="1:17" x14ac:dyDescent="0.25">
      <c r="B18" s="16"/>
      <c r="C18" s="16"/>
      <c r="D18" s="16"/>
      <c r="E18" s="16"/>
      <c r="F18" s="16"/>
      <c r="G18" s="16"/>
      <c r="H18" s="16"/>
    </row>
    <row r="19" spans="1:17" x14ac:dyDescent="0.25">
      <c r="A19" s="1" t="s">
        <v>41</v>
      </c>
      <c r="B19" s="16"/>
      <c r="C19" s="16"/>
      <c r="D19" s="16"/>
      <c r="E19" s="16"/>
      <c r="F19" s="16"/>
      <c r="G19" s="16"/>
      <c r="H19" s="16"/>
    </row>
    <row r="20" spans="1:17" x14ac:dyDescent="0.25">
      <c r="A20" s="1" t="s">
        <v>42</v>
      </c>
      <c r="B20" s="16"/>
      <c r="C20" s="16"/>
      <c r="D20" s="16"/>
      <c r="E20" s="16"/>
      <c r="F20" s="16"/>
      <c r="G20" s="16"/>
      <c r="H20" s="16"/>
    </row>
    <row r="21" spans="1:17" x14ac:dyDescent="0.25">
      <c r="A21" t="s">
        <v>103</v>
      </c>
      <c r="B21" s="16">
        <v>550</v>
      </c>
      <c r="C21" s="16">
        <v>500</v>
      </c>
      <c r="D21" s="16">
        <v>749</v>
      </c>
      <c r="E21" s="16">
        <v>500</v>
      </c>
      <c r="F21" s="16">
        <v>631</v>
      </c>
      <c r="G21" s="16">
        <v>1000</v>
      </c>
      <c r="H21" s="16">
        <v>1001</v>
      </c>
      <c r="I21" s="55"/>
      <c r="J21" s="55"/>
      <c r="K21" s="55"/>
    </row>
    <row r="22" spans="1:17" x14ac:dyDescent="0.25">
      <c r="A22" t="s">
        <v>127</v>
      </c>
      <c r="B22" s="16">
        <f>415+767</f>
        <v>1182</v>
      </c>
      <c r="C22" s="16">
        <f>388+714</f>
        <v>1102</v>
      </c>
      <c r="D22" s="16">
        <v>1001</v>
      </c>
      <c r="E22" s="16">
        <v>1036</v>
      </c>
      <c r="F22" s="16">
        <v>923</v>
      </c>
      <c r="G22" s="16">
        <v>891</v>
      </c>
      <c r="H22" s="16">
        <f>651+437</f>
        <v>1088</v>
      </c>
      <c r="I22" s="55"/>
      <c r="J22" s="55"/>
      <c r="K22" s="55"/>
    </row>
    <row r="23" spans="1:17" x14ac:dyDescent="0.25">
      <c r="A23" t="s">
        <v>104</v>
      </c>
      <c r="B23" s="16">
        <f>134+524</f>
        <v>658</v>
      </c>
      <c r="C23" s="16">
        <f>46+475</f>
        <v>521</v>
      </c>
      <c r="D23" s="16">
        <v>724</v>
      </c>
      <c r="E23" s="16">
        <v>722</v>
      </c>
      <c r="F23" s="16">
        <v>710</v>
      </c>
      <c r="G23" s="16">
        <v>664</v>
      </c>
      <c r="H23" s="16">
        <f>71+498</f>
        <v>569</v>
      </c>
      <c r="I23" s="55"/>
      <c r="J23" s="55"/>
      <c r="K23" s="55"/>
    </row>
    <row r="24" spans="1:17" x14ac:dyDescent="0.25">
      <c r="A24" s="1" t="s">
        <v>43</v>
      </c>
      <c r="B24" s="56">
        <f>SUM(B21:B23)</f>
        <v>2390</v>
      </c>
      <c r="C24" s="56">
        <f t="shared" ref="C24:D24" si="5">SUM(C21:C23)</f>
        <v>2123</v>
      </c>
      <c r="D24" s="56">
        <f t="shared" si="5"/>
        <v>2474</v>
      </c>
      <c r="E24" s="56">
        <f>SUM(E21:E23)</f>
        <v>2258</v>
      </c>
      <c r="F24" s="56">
        <f>SUM(F21:F23)</f>
        <v>2264</v>
      </c>
      <c r="G24" s="56">
        <f>SUM(G21:G23)</f>
        <v>2555</v>
      </c>
      <c r="H24" s="56">
        <f>SUM(H21:H23)</f>
        <v>2658</v>
      </c>
      <c r="I24" s="55"/>
      <c r="J24" s="55"/>
      <c r="K24" s="55"/>
    </row>
    <row r="25" spans="1:17" x14ac:dyDescent="0.25">
      <c r="A25" s="1" t="s">
        <v>44</v>
      </c>
      <c r="B25" s="54"/>
      <c r="C25" s="54"/>
      <c r="D25" s="54"/>
      <c r="E25" s="54"/>
      <c r="F25" s="54"/>
      <c r="G25" s="54"/>
      <c r="H25" s="54"/>
      <c r="I25" s="55"/>
      <c r="J25" s="55"/>
      <c r="K25" s="55"/>
    </row>
    <row r="26" spans="1:17" x14ac:dyDescent="0.25">
      <c r="A26" t="s">
        <v>45</v>
      </c>
      <c r="B26" s="16">
        <v>6248</v>
      </c>
      <c r="C26" s="16">
        <v>5303</v>
      </c>
      <c r="D26" s="16">
        <v>4319</v>
      </c>
      <c r="E26" s="16">
        <v>3577</v>
      </c>
      <c r="F26" s="16">
        <v>2978</v>
      </c>
      <c r="G26" s="16">
        <v>3120</v>
      </c>
      <c r="H26" s="16">
        <v>3630</v>
      </c>
      <c r="I26" s="55"/>
      <c r="J26" s="55"/>
      <c r="K26" s="85"/>
      <c r="L26" s="54"/>
      <c r="M26" s="54"/>
      <c r="N26" s="54"/>
      <c r="O26" s="54"/>
      <c r="P26" s="54"/>
      <c r="Q26" s="54"/>
    </row>
    <row r="27" spans="1:17" x14ac:dyDescent="0.25">
      <c r="A27" t="s">
        <v>105</v>
      </c>
      <c r="B27" s="16">
        <v>90</v>
      </c>
      <c r="C27" s="16">
        <v>78</v>
      </c>
      <c r="D27" s="16">
        <v>42</v>
      </c>
      <c r="E27" s="16">
        <v>78</v>
      </c>
      <c r="F27" s="16">
        <v>33</v>
      </c>
      <c r="G27" s="16">
        <v>37</v>
      </c>
      <c r="H27" s="16">
        <v>64</v>
      </c>
      <c r="I27" s="55"/>
      <c r="J27" s="55"/>
    </row>
    <row r="28" spans="1:17" x14ac:dyDescent="0.25">
      <c r="A28" t="s">
        <v>106</v>
      </c>
      <c r="B28" s="16">
        <f>131+1305</f>
        <v>1436</v>
      </c>
      <c r="C28" s="16">
        <f>93+1514</f>
        <v>1607</v>
      </c>
      <c r="D28" s="16">
        <v>1308</v>
      </c>
      <c r="E28" s="16">
        <v>1392</v>
      </c>
      <c r="F28" s="16">
        <v>683</v>
      </c>
      <c r="G28" s="16">
        <v>572</v>
      </c>
      <c r="H28" s="16">
        <v>630</v>
      </c>
      <c r="K28" s="16"/>
      <c r="L28" s="16"/>
      <c r="M28" s="16"/>
      <c r="N28" s="16"/>
      <c r="O28" s="16"/>
      <c r="P28" s="16"/>
      <c r="Q28" s="16"/>
    </row>
    <row r="29" spans="1:17" x14ac:dyDescent="0.25">
      <c r="A29" s="1" t="s">
        <v>46</v>
      </c>
      <c r="B29" s="20">
        <f>SUM(B26:B28)</f>
        <v>7774</v>
      </c>
      <c r="C29" s="20">
        <f t="shared" ref="C29:D29" si="6">SUM(C26:C28)</f>
        <v>6988</v>
      </c>
      <c r="D29" s="20">
        <f t="shared" si="6"/>
        <v>5669</v>
      </c>
      <c r="E29" s="20">
        <f>SUM(E26:E28)</f>
        <v>5047</v>
      </c>
      <c r="F29" s="20">
        <f>SUM(F26:F28)</f>
        <v>3694</v>
      </c>
      <c r="G29" s="20">
        <f>SUM(G26:G28)</f>
        <v>3729</v>
      </c>
      <c r="H29" s="20">
        <f>SUM(H26:H28)</f>
        <v>4324</v>
      </c>
    </row>
    <row r="30" spans="1:17" x14ac:dyDescent="0.25">
      <c r="A30" s="1" t="s">
        <v>47</v>
      </c>
      <c r="B30" s="20">
        <f>B24+B29</f>
        <v>10164</v>
      </c>
      <c r="C30" s="20">
        <f t="shared" ref="C30:D30" si="7">C24+C29</f>
        <v>9111</v>
      </c>
      <c r="D30" s="20">
        <f t="shared" si="7"/>
        <v>8143</v>
      </c>
      <c r="E30" s="20">
        <f>E24+E29</f>
        <v>7305</v>
      </c>
      <c r="F30" s="20">
        <f>F24+F29</f>
        <v>5958</v>
      </c>
      <c r="G30" s="20">
        <f>G24+G29</f>
        <v>6284</v>
      </c>
      <c r="H30" s="20">
        <f>H24+H29</f>
        <v>6982</v>
      </c>
    </row>
    <row r="31" spans="1:17" x14ac:dyDescent="0.25">
      <c r="A31" s="1"/>
      <c r="B31" s="20"/>
      <c r="C31" s="20"/>
      <c r="D31" s="20"/>
      <c r="E31" s="20"/>
      <c r="F31" s="20"/>
      <c r="G31" s="20"/>
      <c r="H31" s="20"/>
    </row>
    <row r="32" spans="1:17" x14ac:dyDescent="0.25">
      <c r="A32" s="1" t="s">
        <v>48</v>
      </c>
      <c r="B32" s="16"/>
      <c r="C32" s="16"/>
      <c r="D32" s="16"/>
      <c r="E32" s="16"/>
      <c r="F32" s="16"/>
      <c r="G32" s="16"/>
      <c r="H32" s="16"/>
    </row>
    <row r="33" spans="1:19" x14ac:dyDescent="0.25">
      <c r="A33" t="s">
        <v>107</v>
      </c>
      <c r="B33" s="16">
        <v>1741</v>
      </c>
      <c r="C33" s="16">
        <v>1741</v>
      </c>
      <c r="D33" s="16">
        <v>1741</v>
      </c>
      <c r="E33" s="16">
        <v>1741</v>
      </c>
      <c r="F33" s="16">
        <v>1741</v>
      </c>
      <c r="G33" s="16">
        <v>1741</v>
      </c>
      <c r="H33" s="16">
        <v>1741</v>
      </c>
    </row>
    <row r="34" spans="1:19" x14ac:dyDescent="0.25">
      <c r="A34" t="s">
        <v>128</v>
      </c>
      <c r="B34" s="16">
        <v>2333</v>
      </c>
      <c r="C34" s="16">
        <v>2110</v>
      </c>
      <c r="D34" s="16">
        <v>1950</v>
      </c>
      <c r="E34" s="16">
        <v>1776</v>
      </c>
      <c r="F34" s="16">
        <v>1674</v>
      </c>
      <c r="G34" s="16">
        <v>1629</v>
      </c>
      <c r="H34" s="16">
        <v>1368</v>
      </c>
    </row>
    <row r="35" spans="1:19" x14ac:dyDescent="0.25">
      <c r="A35" t="s">
        <v>49</v>
      </c>
      <c r="B35" s="16">
        <v>42051</v>
      </c>
      <c r="C35" s="16">
        <v>39898</v>
      </c>
      <c r="D35" s="16">
        <v>37906</v>
      </c>
      <c r="E35" s="16">
        <v>34662</v>
      </c>
      <c r="F35" s="16">
        <v>33107</v>
      </c>
      <c r="G35" s="16">
        <v>31176</v>
      </c>
      <c r="H35" s="16">
        <v>29653</v>
      </c>
    </row>
    <row r="36" spans="1:19" x14ac:dyDescent="0.25">
      <c r="A36" t="s">
        <v>108</v>
      </c>
      <c r="B36" s="16">
        <v>-36578</v>
      </c>
      <c r="C36" s="16">
        <v>-34495</v>
      </c>
      <c r="D36" s="16">
        <v>-32130</v>
      </c>
      <c r="E36" s="16">
        <v>-27458</v>
      </c>
      <c r="F36" s="16">
        <v>-25523</v>
      </c>
      <c r="G36" s="16">
        <v>-24068</v>
      </c>
      <c r="H36" s="16">
        <v>-21840</v>
      </c>
    </row>
    <row r="37" spans="1:19" x14ac:dyDescent="0.25">
      <c r="A37" t="s">
        <v>109</v>
      </c>
      <c r="B37" s="16">
        <v>-360</v>
      </c>
      <c r="C37" s="16">
        <v>-347</v>
      </c>
      <c r="D37" s="16">
        <v>-473</v>
      </c>
      <c r="E37" s="16">
        <v>-384</v>
      </c>
      <c r="F37" s="16">
        <v>-526</v>
      </c>
      <c r="G37" s="16">
        <v>-532</v>
      </c>
      <c r="H37" s="16">
        <v>-532</v>
      </c>
    </row>
    <row r="38" spans="1:19" x14ac:dyDescent="0.25">
      <c r="A38" s="1" t="s">
        <v>50</v>
      </c>
      <c r="B38" s="20">
        <f>SUM(B33:B37)</f>
        <v>9187</v>
      </c>
      <c r="C38" s="20">
        <f t="shared" ref="C38:D38" si="8">SUM(C33:C37)</f>
        <v>8907</v>
      </c>
      <c r="D38" s="20">
        <f t="shared" si="8"/>
        <v>8994</v>
      </c>
      <c r="E38" s="20">
        <f>SUM(E33:E37)</f>
        <v>10337</v>
      </c>
      <c r="F38" s="20">
        <f>SUM(F33:F37)</f>
        <v>10473</v>
      </c>
      <c r="G38" s="20">
        <f>SUM(G33:G37)</f>
        <v>9946</v>
      </c>
      <c r="H38" s="20">
        <f>SUM(H33:H37)</f>
        <v>10390</v>
      </c>
    </row>
    <row r="39" spans="1:19" x14ac:dyDescent="0.25">
      <c r="A39" s="1" t="s">
        <v>51</v>
      </c>
      <c r="B39" s="20">
        <f>B30+B38</f>
        <v>19351</v>
      </c>
      <c r="C39" s="20">
        <f t="shared" ref="C39:D39" si="9">C30+C38</f>
        <v>18018</v>
      </c>
      <c r="D39" s="20">
        <f t="shared" si="9"/>
        <v>17137</v>
      </c>
      <c r="E39" s="20">
        <f>E30+E38</f>
        <v>17642</v>
      </c>
      <c r="F39" s="20">
        <f>F30+F38</f>
        <v>16431</v>
      </c>
      <c r="G39" s="20">
        <f>G30+G38</f>
        <v>16230</v>
      </c>
      <c r="H39" s="20">
        <f>H30+H38</f>
        <v>17372</v>
      </c>
      <c r="K39" s="16"/>
      <c r="L39" s="16"/>
      <c r="M39" s="16"/>
      <c r="N39" s="16"/>
      <c r="O39" s="16"/>
      <c r="P39" s="16"/>
      <c r="Q39" s="16"/>
    </row>
    <row r="42" spans="1:19" x14ac:dyDescent="0.25">
      <c r="A42" s="46" t="s">
        <v>125</v>
      </c>
      <c r="B42" s="1"/>
      <c r="C42" s="1"/>
      <c r="D42" s="1"/>
      <c r="E42" s="1"/>
      <c r="F42" s="1"/>
      <c r="G42" s="1"/>
      <c r="H42" s="1"/>
    </row>
    <row r="43" spans="1:19" x14ac:dyDescent="0.25">
      <c r="A43" s="46" t="s">
        <v>112</v>
      </c>
      <c r="B43" s="19" t="str">
        <f>B2</f>
        <v>2020-12</v>
      </c>
      <c r="C43" s="19" t="str">
        <f t="shared" ref="C43:D43" si="10">C2</f>
        <v>2019-12</v>
      </c>
      <c r="D43" s="19" t="str">
        <f t="shared" si="10"/>
        <v>2018-12</v>
      </c>
      <c r="E43" s="19" t="str">
        <f>E2</f>
        <v>2017-12</v>
      </c>
      <c r="F43" s="19" t="str">
        <f>F2</f>
        <v>2016-12</v>
      </c>
      <c r="G43" s="19" t="str">
        <f>G2</f>
        <v>2015-12</v>
      </c>
      <c r="H43" s="19" t="str">
        <f>H2</f>
        <v>2014-12</v>
      </c>
    </row>
    <row r="44" spans="1:19" x14ac:dyDescent="0.25">
      <c r="A44" s="1"/>
    </row>
    <row r="45" spans="1:19" x14ac:dyDescent="0.25">
      <c r="A45" t="s">
        <v>84</v>
      </c>
      <c r="B45" s="16">
        <v>14461</v>
      </c>
      <c r="C45" s="16">
        <v>14383</v>
      </c>
      <c r="D45" s="16">
        <v>15784</v>
      </c>
      <c r="E45" s="16">
        <v>14961</v>
      </c>
      <c r="F45" s="16">
        <v>13370</v>
      </c>
      <c r="G45" s="16">
        <v>13000</v>
      </c>
      <c r="H45" s="16">
        <v>13045</v>
      </c>
    </row>
    <row r="46" spans="1:19" x14ac:dyDescent="0.25">
      <c r="A46" t="s">
        <v>85</v>
      </c>
      <c r="B46" s="16">
        <v>5192</v>
      </c>
      <c r="C46" s="16">
        <v>5219</v>
      </c>
      <c r="D46" s="16">
        <v>5507</v>
      </c>
      <c r="E46" s="16">
        <v>5347</v>
      </c>
      <c r="F46" s="16">
        <v>5130</v>
      </c>
      <c r="G46" s="16">
        <v>5440</v>
      </c>
      <c r="H46" s="16">
        <v>5618</v>
      </c>
    </row>
    <row r="47" spans="1:19" x14ac:dyDescent="0.25">
      <c r="A47" s="1" t="s">
        <v>86</v>
      </c>
      <c r="B47" s="20">
        <f t="shared" ref="B47:H47" si="11">B45-B46</f>
        <v>9269</v>
      </c>
      <c r="C47" s="20">
        <f t="shared" ref="C47:G47" si="12">C45-C46</f>
        <v>9164</v>
      </c>
      <c r="D47" s="20">
        <f t="shared" si="12"/>
        <v>10277</v>
      </c>
      <c r="E47" s="20">
        <f t="shared" si="12"/>
        <v>9614</v>
      </c>
      <c r="F47" s="20">
        <f t="shared" si="12"/>
        <v>8240</v>
      </c>
      <c r="G47" s="20">
        <f t="shared" si="12"/>
        <v>7560</v>
      </c>
      <c r="H47" s="20">
        <f t="shared" si="11"/>
        <v>7427</v>
      </c>
      <c r="M47" s="51"/>
      <c r="N47" s="51"/>
      <c r="O47" s="51"/>
      <c r="P47" s="51"/>
      <c r="Q47" s="51"/>
      <c r="R47" s="51"/>
      <c r="S47" s="51"/>
    </row>
    <row r="48" spans="1:19" x14ac:dyDescent="0.25">
      <c r="A48" t="s">
        <v>119</v>
      </c>
      <c r="B48" s="16">
        <f>1530+1623+198+24-313-733+100</f>
        <v>2429</v>
      </c>
      <c r="C48" s="16">
        <f>1544+1645+288-36-175-708+92</f>
        <v>2650</v>
      </c>
      <c r="D48" s="16">
        <f>3243+285-590</f>
        <v>2938</v>
      </c>
      <c r="E48" s="16">
        <f>3083+373-539</f>
        <v>2917</v>
      </c>
      <c r="F48" s="16">
        <f>1370+1767+319-15-605-200</f>
        <v>2636</v>
      </c>
      <c r="G48" s="16">
        <f>3028+254-766+4</f>
        <v>2520</v>
      </c>
      <c r="H48" s="16">
        <f>1358+1843+330-51-850</f>
        <v>2630</v>
      </c>
    </row>
    <row r="49" spans="1:9" x14ac:dyDescent="0.25">
      <c r="A49" s="1" t="s">
        <v>87</v>
      </c>
      <c r="B49" s="20">
        <f>B47-B48</f>
        <v>6840</v>
      </c>
      <c r="C49" s="20">
        <f t="shared" ref="C49" si="13">C47-C48</f>
        <v>6514</v>
      </c>
      <c r="D49" s="20">
        <f>D47-D48</f>
        <v>7339</v>
      </c>
      <c r="E49" s="20">
        <f>E47-E48</f>
        <v>6697</v>
      </c>
      <c r="F49" s="20">
        <f>F47-F48</f>
        <v>5604</v>
      </c>
      <c r="G49" s="20">
        <f>G47-G48</f>
        <v>5040</v>
      </c>
      <c r="H49" s="20">
        <f>H47-H48</f>
        <v>4797</v>
      </c>
    </row>
    <row r="50" spans="1:9" x14ac:dyDescent="0.25">
      <c r="A50" t="s">
        <v>88</v>
      </c>
      <c r="B50" s="16">
        <v>733</v>
      </c>
      <c r="C50" s="16">
        <v>708</v>
      </c>
      <c r="D50" s="16">
        <v>590</v>
      </c>
      <c r="E50" s="16">
        <v>539</v>
      </c>
      <c r="F50" s="16">
        <v>605</v>
      </c>
      <c r="G50" s="16">
        <v>766</v>
      </c>
      <c r="H50" s="16">
        <v>850</v>
      </c>
    </row>
    <row r="51" spans="1:9" x14ac:dyDescent="0.25">
      <c r="A51" s="1" t="s">
        <v>89</v>
      </c>
      <c r="B51" s="20">
        <f t="shared" ref="B51:H51" si="14">B49-B50</f>
        <v>6107</v>
      </c>
      <c r="C51" s="20">
        <f t="shared" ref="C51:G51" si="15">C49-C50</f>
        <v>5806</v>
      </c>
      <c r="D51" s="20">
        <f t="shared" si="15"/>
        <v>6749</v>
      </c>
      <c r="E51" s="20">
        <f t="shared" si="15"/>
        <v>6158</v>
      </c>
      <c r="F51" s="20">
        <f t="shared" si="15"/>
        <v>4999</v>
      </c>
      <c r="G51" s="20">
        <f t="shared" si="15"/>
        <v>4274</v>
      </c>
      <c r="H51" s="20">
        <f t="shared" si="14"/>
        <v>3947</v>
      </c>
      <c r="I51" s="16"/>
    </row>
    <row r="52" spans="1:9" x14ac:dyDescent="0.25">
      <c r="A52" t="s">
        <v>52</v>
      </c>
      <c r="B52" s="16">
        <f>190-100</f>
        <v>90</v>
      </c>
      <c r="C52" s="16">
        <f>170-92</f>
        <v>78</v>
      </c>
      <c r="D52" s="16">
        <f>125-62</f>
        <v>63</v>
      </c>
      <c r="E52" s="16">
        <v>78</v>
      </c>
      <c r="F52" s="16">
        <f>80-11</f>
        <v>69</v>
      </c>
      <c r="G52" s="16">
        <f>90-32</f>
        <v>58</v>
      </c>
      <c r="H52" s="16">
        <f>94-21</f>
        <v>73</v>
      </c>
      <c r="I52" s="16"/>
    </row>
    <row r="53" spans="1:9" x14ac:dyDescent="0.25">
      <c r="A53" s="1" t="s">
        <v>90</v>
      </c>
      <c r="B53" s="20">
        <f t="shared" ref="B53:H53" si="16">B51-B52</f>
        <v>6017</v>
      </c>
      <c r="C53" s="20">
        <f t="shared" ref="C53:G53" si="17">C51-C52</f>
        <v>5728</v>
      </c>
      <c r="D53" s="20">
        <f t="shared" si="17"/>
        <v>6686</v>
      </c>
      <c r="E53" s="20">
        <f t="shared" si="17"/>
        <v>6080</v>
      </c>
      <c r="F53" s="20">
        <f t="shared" si="17"/>
        <v>4930</v>
      </c>
      <c r="G53" s="20">
        <f t="shared" si="17"/>
        <v>4216</v>
      </c>
      <c r="H53" s="20">
        <f t="shared" si="16"/>
        <v>3874</v>
      </c>
    </row>
    <row r="54" spans="1:9" x14ac:dyDescent="0.25">
      <c r="A54" t="s">
        <v>91</v>
      </c>
      <c r="B54" s="16">
        <f>422</f>
        <v>422</v>
      </c>
      <c r="C54" s="16">
        <v>711</v>
      </c>
      <c r="D54" s="16">
        <v>1106</v>
      </c>
      <c r="E54" s="16">
        <f>2398</f>
        <v>2398</v>
      </c>
      <c r="F54" s="16">
        <v>1335</v>
      </c>
      <c r="G54" s="16">
        <v>1230</v>
      </c>
      <c r="H54" s="16">
        <v>1053</v>
      </c>
    </row>
    <row r="55" spans="1:9" x14ac:dyDescent="0.25">
      <c r="A55" s="1" t="s">
        <v>53</v>
      </c>
      <c r="B55" s="20">
        <f t="shared" ref="B55:H55" si="18">B53-B54</f>
        <v>5595</v>
      </c>
      <c r="C55" s="20">
        <f t="shared" si="18"/>
        <v>5017</v>
      </c>
      <c r="D55" s="20">
        <f t="shared" si="18"/>
        <v>5580</v>
      </c>
      <c r="E55" s="20">
        <f t="shared" si="18"/>
        <v>3682</v>
      </c>
      <c r="F55" s="20">
        <f t="shared" si="18"/>
        <v>3595</v>
      </c>
      <c r="G55" s="20">
        <f t="shared" si="18"/>
        <v>2986</v>
      </c>
      <c r="H55" s="20">
        <f t="shared" si="18"/>
        <v>2821</v>
      </c>
    </row>
    <row r="56" spans="1:9" x14ac:dyDescent="0.25">
      <c r="B56" s="16"/>
      <c r="C56" s="16"/>
      <c r="D56" s="16"/>
      <c r="E56" s="16"/>
      <c r="F56" s="16"/>
      <c r="G56" s="16"/>
      <c r="H56" s="16"/>
    </row>
    <row r="57" spans="1:9" x14ac:dyDescent="0.25">
      <c r="A57" s="1" t="s">
        <v>146</v>
      </c>
      <c r="B57" s="51">
        <f>422/6017</f>
        <v>7.0134618580688049E-2</v>
      </c>
      <c r="C57" s="51">
        <f>711/5728</f>
        <v>0.12412709497206705</v>
      </c>
      <c r="D57" s="51">
        <f>1106/6686</f>
        <v>0.16542028118456475</v>
      </c>
      <c r="E57" s="51">
        <f>2398/6080</f>
        <v>0.39440789473684212</v>
      </c>
      <c r="F57" s="51">
        <f>1335/4930</f>
        <v>0.27079107505070993</v>
      </c>
      <c r="G57" s="51">
        <f>1230/4216</f>
        <v>0.29174573055028463</v>
      </c>
      <c r="H57" s="51">
        <f>1053/3874</f>
        <v>0.27181208053691275</v>
      </c>
      <c r="I57" s="51">
        <f>SUM(B57:H57)</f>
        <v>1.5884387756120693</v>
      </c>
    </row>
    <row r="58" spans="1:9" x14ac:dyDescent="0.25">
      <c r="A58" t="s">
        <v>147</v>
      </c>
      <c r="B58" s="51">
        <f>1.5884/7</f>
        <v>0.22691428571428571</v>
      </c>
      <c r="C58" s="16"/>
      <c r="D58" s="16"/>
      <c r="E58" s="16"/>
      <c r="F58" s="16"/>
      <c r="G58" s="16"/>
      <c r="H58" s="16"/>
    </row>
    <row r="59" spans="1:9" x14ac:dyDescent="0.25">
      <c r="B59" s="24"/>
      <c r="C59" s="24"/>
      <c r="D59" s="24"/>
      <c r="E59" s="24"/>
      <c r="F59" s="24"/>
      <c r="G59" s="24"/>
      <c r="H59" s="24"/>
    </row>
    <row r="60" spans="1:9" x14ac:dyDescent="0.25">
      <c r="B60" s="24"/>
      <c r="C60" s="24"/>
      <c r="D60" s="24"/>
      <c r="E60" s="24"/>
      <c r="F60" s="24"/>
      <c r="G60" s="24"/>
      <c r="H60" s="24"/>
    </row>
    <row r="61" spans="1:9" x14ac:dyDescent="0.25">
      <c r="B61" s="16"/>
      <c r="C61" s="16"/>
      <c r="D61" s="16"/>
      <c r="E61" s="16"/>
      <c r="F61" s="16"/>
      <c r="G61" s="16"/>
      <c r="H61" s="16"/>
    </row>
    <row r="62" spans="1:9" x14ac:dyDescent="0.25">
      <c r="B62" s="16"/>
      <c r="C62" s="16"/>
      <c r="D62" s="16"/>
      <c r="E62" s="16"/>
      <c r="F62" s="16"/>
      <c r="G62" s="16"/>
      <c r="H62" s="16"/>
    </row>
    <row r="63" spans="1:9" x14ac:dyDescent="0.25">
      <c r="B63" s="16"/>
      <c r="C63" s="16"/>
      <c r="D63" s="16"/>
      <c r="E63" s="16"/>
      <c r="F63" s="16"/>
      <c r="G63" s="16"/>
      <c r="H63" s="16"/>
    </row>
  </sheetData>
  <printOptions gridLines="1"/>
  <pageMargins left="0.45" right="0.45" top="0.5" bottom="0.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11" workbookViewId="0">
      <selection activeCell="D25" sqref="D25"/>
    </sheetView>
  </sheetViews>
  <sheetFormatPr defaultRowHeight="15" x14ac:dyDescent="0.25"/>
  <cols>
    <col min="1" max="1" width="30.28515625" customWidth="1"/>
    <col min="2" max="2" width="18.140625" customWidth="1"/>
    <col min="3" max="4" width="10.7109375" customWidth="1"/>
    <col min="6" max="7" width="11.7109375" customWidth="1"/>
    <col min="8" max="9" width="12.7109375" customWidth="1"/>
    <col min="10" max="10" width="38.5703125" customWidth="1"/>
    <col min="12" max="12" width="17.42578125" bestFit="1" customWidth="1"/>
  </cols>
  <sheetData>
    <row r="1" spans="1:13" ht="50.1" customHeight="1" x14ac:dyDescent="0.25">
      <c r="A1" s="61" t="s">
        <v>134</v>
      </c>
      <c r="B1" s="25"/>
      <c r="C1" s="25"/>
      <c r="D1" s="26"/>
      <c r="F1" s="39" t="s">
        <v>71</v>
      </c>
      <c r="G1" s="40" t="s">
        <v>72</v>
      </c>
      <c r="H1" s="59" t="s">
        <v>92</v>
      </c>
      <c r="I1" s="60" t="s">
        <v>93</v>
      </c>
      <c r="J1" s="60" t="s">
        <v>94</v>
      </c>
      <c r="L1" s="60"/>
    </row>
    <row r="2" spans="1:13" x14ac:dyDescent="0.25">
      <c r="A2" s="27"/>
      <c r="B2" s="28"/>
      <c r="C2" s="28"/>
      <c r="D2" s="29"/>
      <c r="F2" s="93">
        <v>44133</v>
      </c>
      <c r="G2" s="94">
        <v>1.02</v>
      </c>
      <c r="H2" s="97">
        <f>1.02+0.9+0.9+0.9</f>
        <v>3.7199999999999998</v>
      </c>
      <c r="I2" s="51">
        <f>3.72/3.21-1</f>
        <v>0.15887850467289732</v>
      </c>
      <c r="J2" s="51">
        <f>(0.1589+0.2205+0.2406+0.2927+0.1714+0.129)/6</f>
        <v>0.20218333333333335</v>
      </c>
      <c r="K2" s="97"/>
      <c r="L2" s="97"/>
      <c r="M2" s="58"/>
    </row>
    <row r="3" spans="1:13" x14ac:dyDescent="0.25">
      <c r="A3" s="47"/>
      <c r="B3" s="28"/>
      <c r="C3" s="28"/>
      <c r="D3" s="29"/>
      <c r="F3" s="88">
        <v>44042</v>
      </c>
      <c r="G3" s="89">
        <v>0.9</v>
      </c>
      <c r="H3" s="97"/>
      <c r="I3" s="51"/>
      <c r="J3" s="97"/>
      <c r="K3" s="97"/>
      <c r="L3" s="97"/>
      <c r="M3" s="58"/>
    </row>
    <row r="4" spans="1:13" x14ac:dyDescent="0.25">
      <c r="A4" s="27" t="s">
        <v>64</v>
      </c>
      <c r="B4" s="28"/>
      <c r="C4" s="30">
        <v>164.13</v>
      </c>
      <c r="D4" s="29"/>
      <c r="F4" s="88">
        <v>43952</v>
      </c>
      <c r="G4" s="89">
        <v>0.9</v>
      </c>
      <c r="H4" s="97"/>
      <c r="I4" s="51"/>
      <c r="J4" s="97"/>
      <c r="K4" s="97"/>
      <c r="L4" s="97"/>
      <c r="M4" s="58"/>
    </row>
    <row r="5" spans="1:13" x14ac:dyDescent="0.25">
      <c r="A5" s="27" t="s">
        <v>65</v>
      </c>
      <c r="B5" s="28"/>
      <c r="C5" s="31">
        <v>150.88999999999999</v>
      </c>
      <c r="D5" s="29" t="s">
        <v>8</v>
      </c>
      <c r="F5" s="90">
        <v>43860</v>
      </c>
      <c r="G5" s="91">
        <v>0.9</v>
      </c>
      <c r="H5" s="97"/>
      <c r="I5" s="51"/>
      <c r="J5" s="97"/>
      <c r="K5" s="97"/>
      <c r="L5" s="97"/>
      <c r="M5" s="58"/>
    </row>
    <row r="6" spans="1:13" x14ac:dyDescent="0.25">
      <c r="A6" s="27" t="s">
        <v>66</v>
      </c>
      <c r="B6" s="28"/>
      <c r="C6" s="28">
        <v>1.27</v>
      </c>
      <c r="D6" s="29"/>
      <c r="F6" s="93">
        <v>43768</v>
      </c>
      <c r="G6" s="94">
        <v>0.9</v>
      </c>
      <c r="H6" s="97">
        <f>0.9+0.77+0.77+0.77</f>
        <v>3.21</v>
      </c>
      <c r="I6" s="51">
        <f>3.21/2.63-1</f>
        <v>0.22053231939163509</v>
      </c>
      <c r="J6" s="97"/>
      <c r="K6" s="97"/>
      <c r="L6" s="97"/>
      <c r="M6" s="58"/>
    </row>
    <row r="7" spans="1:13" x14ac:dyDescent="0.25">
      <c r="A7" s="27" t="s">
        <v>67</v>
      </c>
      <c r="B7" s="28"/>
      <c r="C7" s="77">
        <f>C4/C8</f>
        <v>27.12892561983471</v>
      </c>
      <c r="D7" s="29"/>
      <c r="F7" s="88">
        <v>43676</v>
      </c>
      <c r="G7" s="89">
        <v>0.77</v>
      </c>
      <c r="H7" s="97"/>
      <c r="I7" s="51"/>
      <c r="J7" s="97"/>
      <c r="K7" s="97"/>
      <c r="L7" s="97"/>
      <c r="M7" s="58"/>
    </row>
    <row r="8" spans="1:13" x14ac:dyDescent="0.25">
      <c r="A8" s="27" t="s">
        <v>68</v>
      </c>
      <c r="B8" s="28"/>
      <c r="C8" s="30">
        <v>6.05</v>
      </c>
      <c r="D8" s="29"/>
      <c r="F8" s="88">
        <v>43586</v>
      </c>
      <c r="G8" s="89">
        <v>0.77</v>
      </c>
      <c r="H8" s="97"/>
      <c r="I8" s="51"/>
      <c r="J8" s="97"/>
      <c r="K8" s="97"/>
      <c r="L8" s="97"/>
      <c r="M8" s="58"/>
    </row>
    <row r="9" spans="1:13" x14ac:dyDescent="0.25">
      <c r="A9" s="27" t="s">
        <v>6</v>
      </c>
      <c r="B9" s="28"/>
      <c r="C9" s="30">
        <f>SUM(G2:G5)</f>
        <v>3.7199999999999998</v>
      </c>
      <c r="D9" s="29"/>
      <c r="F9" s="90">
        <v>43495</v>
      </c>
      <c r="G9" s="91">
        <v>0.77</v>
      </c>
      <c r="H9" s="97"/>
      <c r="I9" s="51"/>
      <c r="J9" s="97"/>
      <c r="K9" s="97"/>
      <c r="L9" s="97"/>
      <c r="M9" s="58"/>
    </row>
    <row r="10" spans="1:13" x14ac:dyDescent="0.25">
      <c r="A10" s="27" t="s">
        <v>69</v>
      </c>
      <c r="B10" s="28"/>
      <c r="C10" s="86">
        <v>919.35</v>
      </c>
      <c r="D10" s="29" t="s">
        <v>70</v>
      </c>
      <c r="F10" s="93">
        <v>43403</v>
      </c>
      <c r="G10" s="94">
        <v>0.77</v>
      </c>
      <c r="H10" s="97">
        <f>(0.62*3)+0.77</f>
        <v>2.63</v>
      </c>
      <c r="I10" s="51">
        <f>2.63/2.12-1</f>
        <v>0.24056603773584895</v>
      </c>
      <c r="J10" s="97"/>
      <c r="K10" s="97"/>
      <c r="L10" s="97"/>
      <c r="M10" s="58"/>
    </row>
    <row r="11" spans="1:13" ht="15.75" thickBot="1" x14ac:dyDescent="0.3">
      <c r="A11" s="48"/>
      <c r="B11" s="17"/>
      <c r="C11" s="17"/>
      <c r="D11" s="74"/>
      <c r="F11" s="88">
        <v>43311</v>
      </c>
      <c r="G11" s="89">
        <v>0.62</v>
      </c>
      <c r="H11" s="97"/>
      <c r="I11" s="51"/>
      <c r="J11" s="97"/>
      <c r="K11" s="97"/>
      <c r="L11" s="97"/>
      <c r="M11" s="58"/>
    </row>
    <row r="12" spans="1:13" x14ac:dyDescent="0.25">
      <c r="A12" s="27"/>
      <c r="B12" s="28"/>
      <c r="C12" s="28"/>
      <c r="D12" s="29"/>
      <c r="F12" s="88">
        <v>43224</v>
      </c>
      <c r="G12" s="89">
        <v>0.62</v>
      </c>
      <c r="H12" s="97"/>
      <c r="I12" s="51"/>
      <c r="J12" s="97"/>
      <c r="K12" s="97"/>
      <c r="L12" s="97"/>
      <c r="M12" s="58"/>
    </row>
    <row r="13" spans="1:13" x14ac:dyDescent="0.25">
      <c r="A13" s="27" t="s">
        <v>27</v>
      </c>
      <c r="B13" s="30">
        <f>C4</f>
        <v>164.13</v>
      </c>
      <c r="C13" s="28"/>
      <c r="D13" s="32"/>
      <c r="F13" s="90">
        <v>43130</v>
      </c>
      <c r="G13" s="91">
        <v>0.62</v>
      </c>
      <c r="H13" s="97"/>
      <c r="I13" s="51"/>
      <c r="J13" s="97"/>
      <c r="K13" s="97"/>
      <c r="L13" s="97"/>
      <c r="M13" s="58"/>
    </row>
    <row r="14" spans="1:13" x14ac:dyDescent="0.25">
      <c r="A14" s="27" t="s">
        <v>28</v>
      </c>
      <c r="B14" s="33">
        <f>C10*1000000</f>
        <v>919350000</v>
      </c>
      <c r="C14" s="28"/>
      <c r="D14" s="29"/>
      <c r="F14" s="93">
        <v>43038</v>
      </c>
      <c r="G14" s="94">
        <v>0.62</v>
      </c>
      <c r="H14" s="97">
        <f>(0.5*3)+0.62</f>
        <v>2.12</v>
      </c>
      <c r="I14" s="51">
        <f>2.12/1.64-1</f>
        <v>0.29268292682926833</v>
      </c>
      <c r="J14" s="97"/>
      <c r="K14" s="97"/>
      <c r="L14" s="97"/>
      <c r="M14" s="58"/>
    </row>
    <row r="15" spans="1:13" x14ac:dyDescent="0.25">
      <c r="A15" s="27" t="s">
        <v>25</v>
      </c>
      <c r="B15" s="34">
        <f>ROUND(B13*B14,0)</f>
        <v>150892915500</v>
      </c>
      <c r="C15" s="28"/>
      <c r="D15" s="29"/>
      <c r="F15" s="88">
        <v>42943</v>
      </c>
      <c r="G15" s="89">
        <v>0.5</v>
      </c>
      <c r="H15" s="97"/>
      <c r="I15" s="51"/>
      <c r="J15" s="97"/>
      <c r="K15" s="97"/>
      <c r="L15" s="97"/>
      <c r="M15" s="58"/>
    </row>
    <row r="16" spans="1:13" x14ac:dyDescent="0.25">
      <c r="A16" s="27"/>
      <c r="B16" s="35" t="s">
        <v>26</v>
      </c>
      <c r="C16" s="28"/>
      <c r="D16" s="29"/>
      <c r="F16" s="88">
        <v>42852</v>
      </c>
      <c r="G16" s="89">
        <v>0.5</v>
      </c>
      <c r="H16" s="97"/>
      <c r="I16" s="51"/>
      <c r="J16" s="97"/>
      <c r="K16" s="97"/>
      <c r="L16" s="97"/>
      <c r="M16" s="58"/>
    </row>
    <row r="17" spans="1:13" x14ac:dyDescent="0.25">
      <c r="A17" s="27"/>
      <c r="B17" s="31">
        <f>ROUND(B15/1000000000,2)</f>
        <v>150.88999999999999</v>
      </c>
      <c r="C17" s="28" t="s">
        <v>8</v>
      </c>
      <c r="D17" s="29"/>
      <c r="F17" s="90">
        <v>42762</v>
      </c>
      <c r="G17" s="91">
        <v>0.5</v>
      </c>
      <c r="H17" s="97"/>
      <c r="I17" s="51"/>
      <c r="J17" s="97"/>
      <c r="K17" s="97"/>
      <c r="L17" s="97"/>
      <c r="M17" s="58"/>
    </row>
    <row r="18" spans="1:13" x14ac:dyDescent="0.25">
      <c r="A18" s="36"/>
      <c r="B18" s="37"/>
      <c r="C18" s="37"/>
      <c r="D18" s="38"/>
      <c r="F18" s="93">
        <v>42677</v>
      </c>
      <c r="G18" s="94">
        <v>0.5</v>
      </c>
      <c r="H18" s="97">
        <f>0.5+(0.38*3)</f>
        <v>1.6400000000000001</v>
      </c>
      <c r="I18" s="51">
        <f>1.64/1.4-1</f>
        <v>0.17142857142857149</v>
      </c>
      <c r="J18" s="97"/>
      <c r="K18" s="97"/>
      <c r="L18" s="97"/>
      <c r="M18" s="58"/>
    </row>
    <row r="19" spans="1:13" x14ac:dyDescent="0.25">
      <c r="F19" s="88">
        <v>42579</v>
      </c>
      <c r="G19" s="89">
        <v>0.38</v>
      </c>
      <c r="H19" s="97"/>
      <c r="I19" s="51"/>
      <c r="J19" s="97"/>
      <c r="K19" s="97"/>
      <c r="L19" s="97"/>
      <c r="M19" s="58"/>
    </row>
    <row r="20" spans="1:13" x14ac:dyDescent="0.25">
      <c r="A20" t="s">
        <v>148</v>
      </c>
      <c r="B20" s="51">
        <f>0.015+1.27*(0.116-0.015)</f>
        <v>0.14327000000000001</v>
      </c>
      <c r="F20" s="88">
        <v>42488</v>
      </c>
      <c r="G20" s="89">
        <v>0.38</v>
      </c>
      <c r="H20" s="97"/>
      <c r="I20" s="51"/>
      <c r="J20" s="97"/>
      <c r="K20" s="97"/>
      <c r="L20" s="97"/>
      <c r="M20" s="58"/>
    </row>
    <row r="21" spans="1:13" x14ac:dyDescent="0.25">
      <c r="A21" t="s">
        <v>149</v>
      </c>
      <c r="B21" s="51">
        <f>3.72*1.2022*1/164.13+0.2022</f>
        <v>0.22944781575580331</v>
      </c>
      <c r="F21" s="90">
        <v>42397</v>
      </c>
      <c r="G21" s="91">
        <v>0.38</v>
      </c>
      <c r="H21" s="97"/>
      <c r="I21" s="51"/>
      <c r="J21" s="97"/>
      <c r="K21" s="97"/>
      <c r="L21" s="97"/>
      <c r="M21" s="58"/>
    </row>
    <row r="22" spans="1:13" x14ac:dyDescent="0.25">
      <c r="A22" t="s">
        <v>155</v>
      </c>
      <c r="B22" s="51">
        <f>(0.1433+0.2294)/2</f>
        <v>0.18635000000000002</v>
      </c>
      <c r="F22" s="93">
        <v>42305</v>
      </c>
      <c r="G22" s="94">
        <v>0.38</v>
      </c>
      <c r="H22" s="97">
        <f>0.38+(0.34*3)</f>
        <v>1.4</v>
      </c>
      <c r="I22" s="51">
        <f>1.4/1.24-1</f>
        <v>0.12903225806451601</v>
      </c>
      <c r="J22" s="97"/>
      <c r="K22" s="97"/>
      <c r="L22" s="97"/>
    </row>
    <row r="23" spans="1:13" x14ac:dyDescent="0.25">
      <c r="A23" t="s">
        <v>158</v>
      </c>
      <c r="B23" s="51">
        <v>1.5900000000000001E-2</v>
      </c>
      <c r="F23" s="88">
        <v>42214</v>
      </c>
      <c r="G23" s="89">
        <v>0.34</v>
      </c>
      <c r="H23" s="97"/>
      <c r="I23" s="51"/>
      <c r="J23" s="97"/>
      <c r="K23" s="97"/>
      <c r="L23" s="97"/>
    </row>
    <row r="24" spans="1:13" x14ac:dyDescent="0.25">
      <c r="A24" t="s">
        <v>150</v>
      </c>
      <c r="B24" t="s">
        <v>151</v>
      </c>
      <c r="C24" t="s">
        <v>8</v>
      </c>
      <c r="F24" s="88">
        <v>42122</v>
      </c>
      <c r="G24" s="89">
        <v>0.34</v>
      </c>
      <c r="H24" s="97"/>
      <c r="I24" s="51"/>
      <c r="J24" s="97"/>
      <c r="K24" s="97"/>
      <c r="L24" s="97"/>
    </row>
    <row r="25" spans="1:13" x14ac:dyDescent="0.25">
      <c r="A25" t="s">
        <v>152</v>
      </c>
      <c r="B25" t="s">
        <v>153</v>
      </c>
      <c r="C25" t="s">
        <v>8</v>
      </c>
      <c r="F25" s="90">
        <v>42032</v>
      </c>
      <c r="G25" s="91">
        <v>0.34</v>
      </c>
      <c r="H25" s="97"/>
      <c r="I25" s="51"/>
      <c r="J25" s="97"/>
      <c r="K25" s="97"/>
      <c r="L25" s="97"/>
    </row>
    <row r="26" spans="1:13" x14ac:dyDescent="0.25">
      <c r="A26" t="s">
        <v>154</v>
      </c>
      <c r="B26">
        <f>7.36+150.89</f>
        <v>158.25</v>
      </c>
      <c r="C26" t="s">
        <v>8</v>
      </c>
      <c r="F26" s="93">
        <v>41941</v>
      </c>
      <c r="G26" s="94">
        <v>0.34</v>
      </c>
      <c r="H26" s="97">
        <f>0.34+(0.3*3)</f>
        <v>1.24</v>
      </c>
      <c r="I26" s="51"/>
      <c r="J26" s="97"/>
      <c r="K26" s="97"/>
      <c r="L26" s="97"/>
    </row>
    <row r="27" spans="1:13" x14ac:dyDescent="0.25">
      <c r="F27" s="88">
        <v>41849</v>
      </c>
      <c r="G27" s="89">
        <v>0.3</v>
      </c>
      <c r="H27" s="97"/>
      <c r="I27" s="51"/>
      <c r="J27" s="97"/>
      <c r="K27" s="97"/>
      <c r="L27" s="97"/>
    </row>
    <row r="28" spans="1:13" x14ac:dyDescent="0.25">
      <c r="A28" t="s">
        <v>156</v>
      </c>
      <c r="B28" s="106">
        <f>7.36/158.25</f>
        <v>4.6508688783570305E-2</v>
      </c>
      <c r="F28" s="88">
        <v>41757</v>
      </c>
      <c r="G28" s="89">
        <v>0.3</v>
      </c>
      <c r="H28" s="97"/>
      <c r="I28" s="51"/>
      <c r="J28" s="97"/>
      <c r="K28" s="97"/>
      <c r="L28" s="97"/>
    </row>
    <row r="29" spans="1:13" x14ac:dyDescent="0.25">
      <c r="A29" t="s">
        <v>157</v>
      </c>
      <c r="B29" s="106">
        <f>150.89/158.25</f>
        <v>0.9534913112164296</v>
      </c>
      <c r="F29" s="90">
        <v>41668</v>
      </c>
      <c r="G29" s="91">
        <v>0.3</v>
      </c>
      <c r="H29" s="97"/>
      <c r="I29" s="51"/>
      <c r="J29" s="97"/>
      <c r="K29" s="97"/>
      <c r="L29" s="97"/>
    </row>
    <row r="30" spans="1:13" x14ac:dyDescent="0.25">
      <c r="A30" t="s">
        <v>13</v>
      </c>
      <c r="B30" s="51">
        <f>(0.05*0.0159)+(0.95*0.1857)</f>
        <v>0.17720999999999998</v>
      </c>
    </row>
    <row r="31" spans="1:13" x14ac:dyDescent="0.25">
      <c r="B31" s="106"/>
    </row>
    <row r="32" spans="1:13" x14ac:dyDescent="0.25">
      <c r="B32" s="106"/>
    </row>
    <row r="33" spans="2:2" x14ac:dyDescent="0.25">
      <c r="B33" s="106"/>
    </row>
    <row r="34" spans="2:2" x14ac:dyDescent="0.25">
      <c r="B34" s="106"/>
    </row>
    <row r="35" spans="2:2" x14ac:dyDescent="0.25">
      <c r="B35" s="106"/>
    </row>
    <row r="36" spans="2:2" x14ac:dyDescent="0.25">
      <c r="B36" s="106"/>
    </row>
    <row r="37" spans="2:2" x14ac:dyDescent="0.25">
      <c r="B37" s="106"/>
    </row>
    <row r="38" spans="2:2" x14ac:dyDescent="0.25">
      <c r="B38" s="106"/>
    </row>
    <row r="39" spans="2:2" x14ac:dyDescent="0.25">
      <c r="B39" s="106"/>
    </row>
    <row r="40" spans="2:2" x14ac:dyDescent="0.25">
      <c r="B40" s="106"/>
    </row>
  </sheetData>
  <pageMargins left="0.45" right="0.45" top="1" bottom="0.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workbookViewId="0">
      <selection activeCell="D3" sqref="D3"/>
    </sheetView>
  </sheetViews>
  <sheetFormatPr defaultRowHeight="15" x14ac:dyDescent="0.25"/>
  <cols>
    <col min="1" max="1" width="24.28515625" customWidth="1"/>
    <col min="2" max="8" width="14.7109375" customWidth="1"/>
    <col min="9" max="9" width="17.85546875" customWidth="1"/>
    <col min="10" max="10" width="14.7109375" customWidth="1"/>
    <col min="11" max="11" width="8.85546875" style="76"/>
    <col min="12" max="12" width="22.7109375" customWidth="1"/>
    <col min="13" max="13" width="23.28515625" customWidth="1"/>
    <col min="18" max="18" width="23.7109375" customWidth="1"/>
    <col min="19" max="19" width="12.5703125" style="24" customWidth="1"/>
  </cols>
  <sheetData>
    <row r="1" spans="1:10" ht="21" x14ac:dyDescent="0.25">
      <c r="A1" s="41" t="s">
        <v>131</v>
      </c>
      <c r="B1" s="10"/>
      <c r="C1" s="42"/>
      <c r="D1" s="42"/>
      <c r="E1" s="18"/>
      <c r="F1" s="18"/>
      <c r="G1" s="42"/>
      <c r="H1" s="42"/>
      <c r="I1" s="42"/>
    </row>
    <row r="2" spans="1:10" ht="21" x14ac:dyDescent="0.25">
      <c r="A2" s="41" t="s">
        <v>96</v>
      </c>
      <c r="B2" s="10"/>
      <c r="C2" s="42"/>
      <c r="D2" s="42"/>
      <c r="E2" s="18"/>
      <c r="F2" s="18"/>
      <c r="G2" s="42"/>
      <c r="H2" s="42"/>
      <c r="I2" s="42"/>
    </row>
    <row r="3" spans="1:10" ht="19.5" thickBot="1" x14ac:dyDescent="0.3">
      <c r="A3" s="57"/>
      <c r="B3" s="10"/>
      <c r="C3" s="42"/>
      <c r="D3" s="42"/>
      <c r="E3" s="18"/>
      <c r="F3" s="18"/>
      <c r="G3" s="42"/>
      <c r="H3" s="42"/>
      <c r="I3" s="42"/>
    </row>
    <row r="4" spans="1:10" ht="24" customHeight="1" thickBot="1" x14ac:dyDescent="0.3">
      <c r="A4" s="110" t="s">
        <v>29</v>
      </c>
      <c r="B4" s="109" t="s">
        <v>123</v>
      </c>
      <c r="C4" s="108" t="s">
        <v>73</v>
      </c>
      <c r="D4" s="108" t="s">
        <v>74</v>
      </c>
      <c r="E4" s="111" t="s">
        <v>30</v>
      </c>
      <c r="F4" s="108" t="s">
        <v>75</v>
      </c>
      <c r="G4" s="108" t="s">
        <v>76</v>
      </c>
      <c r="H4" s="109" t="s">
        <v>31</v>
      </c>
      <c r="I4" s="108" t="s">
        <v>77</v>
      </c>
    </row>
    <row r="5" spans="1:10" ht="24" customHeight="1" thickBot="1" x14ac:dyDescent="0.3">
      <c r="A5" s="110"/>
      <c r="B5" s="109"/>
      <c r="C5" s="108"/>
      <c r="D5" s="108"/>
      <c r="E5" s="111"/>
      <c r="F5" s="108"/>
      <c r="G5" s="108"/>
      <c r="H5" s="109"/>
      <c r="I5" s="108"/>
      <c r="J5" s="68"/>
    </row>
    <row r="6" spans="1:10" ht="15.75" thickBot="1" x14ac:dyDescent="0.3">
      <c r="A6" s="71" t="s">
        <v>118</v>
      </c>
      <c r="B6" s="100">
        <v>44267</v>
      </c>
      <c r="C6" s="87">
        <v>550</v>
      </c>
      <c r="D6" s="84">
        <v>100</v>
      </c>
      <c r="E6" s="92">
        <v>2.75E-2</v>
      </c>
      <c r="F6" s="81">
        <v>2.6894124615182768E-2</v>
      </c>
      <c r="G6" s="79">
        <f>550/100*100</f>
        <v>550</v>
      </c>
      <c r="H6" s="80">
        <f>G6/G16</f>
        <v>7.4758733179285039E-2</v>
      </c>
      <c r="I6" s="82">
        <f>F6*H6</f>
        <v>2.0105706861968903E-3</v>
      </c>
      <c r="J6" s="68"/>
    </row>
    <row r="7" spans="1:10" ht="15.75" thickBot="1" x14ac:dyDescent="0.3">
      <c r="A7" s="71" t="s">
        <v>118</v>
      </c>
      <c r="B7" s="100">
        <v>44696</v>
      </c>
      <c r="C7" s="87">
        <v>500</v>
      </c>
      <c r="D7" s="84">
        <v>101.52</v>
      </c>
      <c r="E7" s="92">
        <v>1.8499999999999999E-2</v>
      </c>
      <c r="F7" s="81">
        <v>7.3444733666173786E-3</v>
      </c>
      <c r="G7" s="79">
        <f>500/100*101.52</f>
        <v>507.59999999999997</v>
      </c>
      <c r="H7" s="80">
        <f>G7/G16</f>
        <v>6.899551447600924E-2</v>
      </c>
      <c r="I7" s="82">
        <f t="shared" ref="I7:I15" si="0">F7*H7</f>
        <v>5.0673571848511365E-4</v>
      </c>
      <c r="J7" s="68"/>
    </row>
    <row r="8" spans="1:10" ht="15.75" thickBot="1" x14ac:dyDescent="0.3">
      <c r="A8" s="71" t="s">
        <v>118</v>
      </c>
      <c r="B8" s="100">
        <v>45047</v>
      </c>
      <c r="C8" s="87">
        <v>500</v>
      </c>
      <c r="D8" s="84">
        <v>103.28</v>
      </c>
      <c r="E8" s="92">
        <v>2.2499999999999999E-2</v>
      </c>
      <c r="F8" s="81">
        <v>8.2754049792178926E-3</v>
      </c>
      <c r="G8" s="79">
        <f>500/100*103.28</f>
        <v>516.4</v>
      </c>
      <c r="H8" s="80">
        <f>G8/G16</f>
        <v>7.0191654206877799E-2</v>
      </c>
      <c r="I8" s="82">
        <f t="shared" si="0"/>
        <v>5.8086436472313705E-4</v>
      </c>
      <c r="J8" s="68"/>
    </row>
    <row r="9" spans="1:10" ht="15.75" thickBot="1" x14ac:dyDescent="0.3">
      <c r="A9" s="71" t="s">
        <v>118</v>
      </c>
      <c r="B9" s="100">
        <v>45427</v>
      </c>
      <c r="C9" s="87">
        <v>300</v>
      </c>
      <c r="D9" s="84">
        <v>105.75</v>
      </c>
      <c r="E9" s="92">
        <v>2.6249999999999999E-2</v>
      </c>
      <c r="F9" s="81">
        <v>8.9021237246456504E-3</v>
      </c>
      <c r="G9" s="79">
        <f>300/100*105.75</f>
        <v>317.25</v>
      </c>
      <c r="H9" s="80">
        <f>G9/G16</f>
        <v>4.3122196547505778E-2</v>
      </c>
      <c r="I9" s="82">
        <f t="shared" si="0"/>
        <v>3.8387912894438393E-4</v>
      </c>
      <c r="J9" s="68"/>
    </row>
    <row r="10" spans="1:10" ht="15.75" thickBot="1" x14ac:dyDescent="0.3">
      <c r="A10" s="71" t="s">
        <v>118</v>
      </c>
      <c r="B10" s="100">
        <v>45728</v>
      </c>
      <c r="C10" s="87">
        <v>750</v>
      </c>
      <c r="D10" s="84">
        <v>102.05</v>
      </c>
      <c r="E10" s="92">
        <v>1.375E-2</v>
      </c>
      <c r="F10" s="81">
        <v>8.7638716467511018E-3</v>
      </c>
      <c r="G10" s="79">
        <f>750/100*102.05</f>
        <v>765.375</v>
      </c>
      <c r="H10" s="80">
        <f>G10/G16</f>
        <v>0.10403357346744598</v>
      </c>
      <c r="I10" s="82">
        <f t="shared" si="0"/>
        <v>9.1173688482154753E-4</v>
      </c>
      <c r="J10" s="68"/>
    </row>
    <row r="11" spans="1:10" ht="15.75" thickBot="1" x14ac:dyDescent="0.3">
      <c r="A11" s="71" t="s">
        <v>118</v>
      </c>
      <c r="B11" s="100">
        <v>46694</v>
      </c>
      <c r="C11" s="87">
        <v>500</v>
      </c>
      <c r="D11" s="84">
        <v>107.8</v>
      </c>
      <c r="E11" s="92">
        <v>2.9000000000000001E-2</v>
      </c>
      <c r="F11" s="81">
        <v>1.6873845119681534E-2</v>
      </c>
      <c r="G11" s="79">
        <f>500/100*107.8</f>
        <v>539</v>
      </c>
      <c r="H11" s="80">
        <f>G11/G16</f>
        <v>7.3263558515699337E-2</v>
      </c>
      <c r="I11" s="82">
        <f t="shared" si="0"/>
        <v>1.2362379393106358E-3</v>
      </c>
      <c r="J11" s="68"/>
    </row>
    <row r="12" spans="1:10" ht="15.75" thickBot="1" x14ac:dyDescent="0.3">
      <c r="A12" s="71" t="s">
        <v>118</v>
      </c>
      <c r="B12" s="100">
        <v>47365</v>
      </c>
      <c r="C12" s="87">
        <v>750</v>
      </c>
      <c r="D12" s="84">
        <v>101.25</v>
      </c>
      <c r="E12" s="92">
        <v>2.2499999999999999E-2</v>
      </c>
      <c r="F12" s="81">
        <v>2.0915219216644559E-2</v>
      </c>
      <c r="G12" s="79">
        <f>750/100*101.25</f>
        <v>759.375</v>
      </c>
      <c r="H12" s="80">
        <f>G12/G16</f>
        <v>0.10321802365094468</v>
      </c>
      <c r="I12" s="82">
        <f t="shared" si="0"/>
        <v>2.1588275917683109E-3</v>
      </c>
      <c r="J12" s="68"/>
    </row>
    <row r="13" spans="1:10" ht="15.75" thickBot="1" x14ac:dyDescent="0.3">
      <c r="A13" s="71" t="s">
        <v>118</v>
      </c>
      <c r="B13" s="100">
        <v>47607</v>
      </c>
      <c r="C13" s="87">
        <v>750</v>
      </c>
      <c r="D13" s="84">
        <v>97.5</v>
      </c>
      <c r="E13" s="92">
        <v>1.7500000000000002E-2</v>
      </c>
      <c r="F13" s="81">
        <v>2.0452455554778485E-2</v>
      </c>
      <c r="G13" s="79">
        <f>750/100*97.5</f>
        <v>731.25</v>
      </c>
      <c r="H13" s="80">
        <f>G13/G16</f>
        <v>9.9395133886094875E-2</v>
      </c>
      <c r="I13" s="82">
        <f t="shared" si="0"/>
        <v>2.0328745581666124E-3</v>
      </c>
      <c r="J13" s="68"/>
    </row>
    <row r="14" spans="1:10" ht="15.75" thickBot="1" x14ac:dyDescent="0.3">
      <c r="A14" s="71" t="s">
        <v>118</v>
      </c>
      <c r="B14" s="100">
        <v>50844</v>
      </c>
      <c r="C14" s="87">
        <v>750</v>
      </c>
      <c r="D14" s="84">
        <v>115.24</v>
      </c>
      <c r="E14" s="92">
        <v>3.875E-2</v>
      </c>
      <c r="F14" s="81">
        <v>2.8004875944630372E-2</v>
      </c>
      <c r="G14" s="79">
        <f>750/100*115.24</f>
        <v>864.3</v>
      </c>
      <c r="H14" s="80">
        <f>G14/G16</f>
        <v>0.11747995106701101</v>
      </c>
      <c r="I14" s="82">
        <f t="shared" si="0"/>
        <v>3.2900114556128897E-3</v>
      </c>
      <c r="J14" s="68"/>
    </row>
    <row r="15" spans="1:10" ht="15.75" thickBot="1" x14ac:dyDescent="0.3">
      <c r="A15" s="71" t="s">
        <v>118</v>
      </c>
      <c r="B15" s="100">
        <v>54193</v>
      </c>
      <c r="C15" s="87">
        <v>1500</v>
      </c>
      <c r="D15" s="84">
        <v>120.43</v>
      </c>
      <c r="E15" s="92">
        <v>4.1500000000000002E-2</v>
      </c>
      <c r="F15" s="81">
        <v>3.0444216228387583E-2</v>
      </c>
      <c r="G15" s="79">
        <f>1500/100*120.43</f>
        <v>1806.45</v>
      </c>
      <c r="H15" s="80">
        <f>G15/G16</f>
        <v>0.24554166100312627</v>
      </c>
      <c r="I15" s="82">
        <f t="shared" si="0"/>
        <v>7.4753234206566196E-3</v>
      </c>
      <c r="J15" s="68"/>
    </row>
    <row r="16" spans="1:10" ht="15.75" x14ac:dyDescent="0.25">
      <c r="A16" s="50" t="s">
        <v>82</v>
      </c>
      <c r="B16" s="63"/>
      <c r="C16" s="64">
        <f>SUM(C6:C15)</f>
        <v>6850</v>
      </c>
      <c r="D16" s="65"/>
      <c r="E16" s="66"/>
      <c r="F16" s="98"/>
      <c r="G16" s="104">
        <f>SUM(G6:G15)</f>
        <v>7357</v>
      </c>
      <c r="H16" s="98"/>
      <c r="I16" s="103">
        <f>SUM(I6:I15)</f>
        <v>2.0587061748686141E-2</v>
      </c>
      <c r="J16" s="68"/>
    </row>
    <row r="17" spans="2:10" ht="15.75" x14ac:dyDescent="0.25">
      <c r="B17" s="68"/>
      <c r="C17" s="67" t="s">
        <v>26</v>
      </c>
      <c r="D17" s="65"/>
      <c r="E17" s="66"/>
      <c r="F17" s="98"/>
      <c r="G17" s="105" t="s">
        <v>26</v>
      </c>
      <c r="H17" s="98"/>
      <c r="I17" s="98"/>
    </row>
    <row r="18" spans="2:10" ht="15.75" x14ac:dyDescent="0.25">
      <c r="B18" s="68"/>
      <c r="C18" s="78">
        <f>C16/1000</f>
        <v>6.85</v>
      </c>
      <c r="D18" s="65"/>
      <c r="E18" s="66"/>
      <c r="F18" s="98"/>
      <c r="G18" s="105">
        <v>7.3570000000000002</v>
      </c>
      <c r="H18" s="98"/>
      <c r="I18" s="98"/>
    </row>
    <row r="19" spans="2:10" ht="15.75" x14ac:dyDescent="0.25">
      <c r="B19" s="68"/>
      <c r="C19" s="67" t="s">
        <v>8</v>
      </c>
      <c r="D19" s="65"/>
      <c r="E19" s="66"/>
      <c r="F19" s="98"/>
      <c r="G19" s="105" t="s">
        <v>8</v>
      </c>
      <c r="H19" s="99" t="s">
        <v>145</v>
      </c>
      <c r="I19" s="98"/>
    </row>
    <row r="20" spans="2:10" x14ac:dyDescent="0.25">
      <c r="B20" s="10"/>
      <c r="C20" s="42"/>
      <c r="D20" s="42"/>
      <c r="E20" s="18"/>
      <c r="F20" s="18"/>
      <c r="G20" s="42"/>
      <c r="H20" s="42"/>
      <c r="I20" s="42"/>
    </row>
    <row r="21" spans="2:10" ht="15.75" x14ac:dyDescent="0.25">
      <c r="B21" s="10"/>
      <c r="C21" s="70"/>
      <c r="D21" s="42"/>
      <c r="E21" s="18"/>
      <c r="F21" s="18"/>
      <c r="G21" s="42"/>
      <c r="H21" s="43" t="s">
        <v>78</v>
      </c>
      <c r="I21" s="101">
        <v>2.06E-2</v>
      </c>
      <c r="J21" s="72"/>
    </row>
    <row r="22" spans="2:10" x14ac:dyDescent="0.25">
      <c r="B22" s="10"/>
      <c r="C22" s="42"/>
      <c r="D22" s="42"/>
      <c r="E22" s="18"/>
      <c r="F22" s="18"/>
      <c r="G22" s="42"/>
      <c r="H22" s="42"/>
      <c r="I22" s="102"/>
    </row>
    <row r="23" spans="2:10" ht="15.75" x14ac:dyDescent="0.25">
      <c r="B23" s="10"/>
      <c r="C23" s="42"/>
      <c r="D23" s="42"/>
      <c r="E23" s="18"/>
      <c r="F23" s="18"/>
      <c r="G23" s="45"/>
      <c r="H23" s="43" t="s">
        <v>79</v>
      </c>
      <c r="I23" s="101">
        <v>0.22689999999999999</v>
      </c>
      <c r="J23" s="73"/>
    </row>
    <row r="24" spans="2:10" x14ac:dyDescent="0.25">
      <c r="B24" s="10"/>
      <c r="C24" s="42"/>
      <c r="D24" s="42"/>
      <c r="E24" s="18"/>
      <c r="F24" s="18"/>
      <c r="G24" s="42"/>
      <c r="H24" s="42"/>
      <c r="I24" s="102"/>
    </row>
    <row r="25" spans="2:10" ht="15.75" x14ac:dyDescent="0.25">
      <c r="B25" s="10"/>
      <c r="C25" s="42"/>
      <c r="D25" s="42"/>
      <c r="E25" s="18"/>
      <c r="F25" s="18"/>
      <c r="G25" s="42"/>
      <c r="H25" s="43" t="s">
        <v>97</v>
      </c>
      <c r="I25" s="101">
        <f>0.0206*(1-0.2269)</f>
        <v>1.592586E-2</v>
      </c>
      <c r="J25" s="72"/>
    </row>
    <row r="26" spans="2:10" ht="15.75" x14ac:dyDescent="0.25">
      <c r="B26" s="10"/>
      <c r="C26" s="42"/>
      <c r="D26" s="42"/>
      <c r="E26" s="18"/>
      <c r="F26" s="18"/>
      <c r="G26" s="42"/>
      <c r="H26" s="42"/>
      <c r="I26" s="69"/>
    </row>
    <row r="27" spans="2:10" ht="15.75" x14ac:dyDescent="0.25">
      <c r="B27" s="10"/>
      <c r="C27" s="42"/>
      <c r="D27" s="42"/>
      <c r="E27" s="18"/>
      <c r="F27" s="18"/>
      <c r="G27" s="42"/>
      <c r="H27" s="42"/>
      <c r="I27" s="44"/>
    </row>
    <row r="28" spans="2:10" ht="15.75" x14ac:dyDescent="0.25">
      <c r="I28" s="44"/>
    </row>
  </sheetData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45" right="0.45" top="0.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Answer Schedule</vt:lpstr>
      <vt:lpstr>Financials</vt:lpstr>
      <vt:lpstr>Data</vt:lpstr>
      <vt:lpstr>Bond Sched</vt:lpstr>
      <vt:lpstr>'Answer Schedule'!Print_Area</vt:lpstr>
      <vt:lpstr>'Bond Sched'!Print_Area</vt:lpstr>
      <vt:lpstr>Data!Print_Area</vt:lpstr>
      <vt:lpstr>Instructions!Print_Area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McCrady</dc:creator>
  <cp:lastModifiedBy>William</cp:lastModifiedBy>
  <cp:lastPrinted>2019-11-25T16:34:29Z</cp:lastPrinted>
  <dcterms:created xsi:type="dcterms:W3CDTF">2017-11-03T14:36:30Z</dcterms:created>
  <dcterms:modified xsi:type="dcterms:W3CDTF">2021-04-18T06:56:28Z</dcterms:modified>
</cp:coreProperties>
</file>